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861" yWindow="420" windowWidth="16125" windowHeight="126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<sst xmlns="http://schemas.openxmlformats.org/spreadsheetml/2006/main" count="166" uniqueCount="113">
  <si>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</si>
  <si>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</si>
  <si>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</si>
  <si>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</si>
  <si>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</si>
  <si>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</si>
  <si>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</si>
  <si>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</si>
  <si>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</si>
  <si>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</si>
  <si>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</si>
  <si>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</si>
  <si>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</si>
  <si>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</si>
  <si>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</si>
  <si>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</si>
  <si>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</si>
  <si>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</si>
  <si>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</si>
  <si>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</si>
  <si>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</si>
  <si>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</si>
  <si>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</si>
  <si>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</si>
  <si>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</si>
  <si>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</si>
  <si>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</si>
  <si>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</si>
  <si>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</si>
  <si>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</si>
  <si>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</si>
  <si>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</si>
  <si>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</si>
  <si>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</si>
  <si>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</si>
  <si>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</si>
  <si>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</si>
  <si>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</si>
  <si>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</si>
  <si>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</si>
  <si>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</si>
  <si>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</si>
  <si>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</si>
  <si>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</si>
  <si>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</si>
  <si>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</si>
  <si>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</si>
  <si>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</si>
  <si>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</si>
  <si>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</si>
  <si>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</si>
  <si>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</si>
  <si>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</si>
  <si>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</si>
  <si>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</si>
  <si>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</si>
  <si>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</si>
  <si>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</si>
  <si>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</si>
  <si>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</si>
  <si>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</si>
  <si>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</si>
  <si>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</si>
  <si>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</si>
  <si>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</si>
  <si>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</si>
  <si>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</si>
  <si>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</si>
  <si>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</si>
  <si>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</si>
  <si>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</si>
  <si>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</si>
  <si>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</si>
  <si>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</si>
  <si>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</si>
  <si>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</si>
  <si>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</si>
  <si>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</si>
  <si>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</si>
  <si>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</si>
  <si>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</si>
  <si>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</si>
  <si>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</si>
  <si>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</si>
  <si>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</si>
  <si>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</si>
  <si>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</si>
  <si>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</si>
  <si>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</si>
  <si>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</si>
  <si>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</si>
  <si>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</si>
  <si>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</si>
  <si>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</si>
  <si>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</si>
  <si>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</si>
  <si>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</si>
  <si>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</si>
  <si>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</si>
  <si>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</si>
  <si>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</si>
  <si>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</si>
  <si>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</si>
  <si>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</si>
  <si>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</si>
  <si>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</si>
  <si>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</si>
  <si>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</si>
  <si>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</si>
  <si>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11 місяців, тис.грн.</t>
  </si>
  <si>
    <t>Відсоток виконання  плану 11 місяців</t>
  </si>
  <si>
    <t>Відхилення від  плану 11 місяців, тис.грн.</t>
  </si>
  <si>
    <t>Аналіз використання коштів загального фонду міського бюджету станом на 20.12.2018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</si>
</sst>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5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9" fillId="35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206969.80000000002</c:v>
                </c:pt>
                <c:pt idx="1">
                  <c:v>192650.9</c:v>
                </c:pt>
                <c:pt idx="2">
                  <c:v>2464.4</c:v>
                </c:pt>
                <c:pt idx="3">
                  <c:v>11854.500000000024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193877.80000000005</c:v>
                </c:pt>
                <c:pt idx="1">
                  <c:v>181863.81000000006</c:v>
                </c:pt>
                <c:pt idx="2">
                  <c:v>2022.0000000000002</c:v>
                </c:pt>
                <c:pt idx="3">
                  <c:v>9991.98999999999</c:v>
                </c:pt>
              </c:numCache>
            </c:numRef>
          </c:val>
          <c:shape val="box"/>
        </c:ser>
        <c:shape val="box"/>
        <c:axId val="8529480"/>
        <c:axId val="9656457"/>
      </c:bar3DChart>
      <c:catAx>
        <c:axId val="8529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56457"/>
        <c:crosses val="autoZero"/>
        <c:auto val="1"/>
        <c:lblOffset val="100"/>
        <c:tickLblSkip val="1"/>
        <c:noMultiLvlLbl val="0"/>
      </c:catAx>
      <c:valAx>
        <c:axId val="96564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294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825669.5</c:v>
                </c:pt>
                <c:pt idx="1">
                  <c:v>262517.6</c:v>
                </c:pt>
                <c:pt idx="2">
                  <c:v>652056.2000000001</c:v>
                </c:pt>
                <c:pt idx="3">
                  <c:v>97.7</c:v>
                </c:pt>
                <c:pt idx="4">
                  <c:v>40926.8</c:v>
                </c:pt>
                <c:pt idx="5">
                  <c:v>88172.4</c:v>
                </c:pt>
                <c:pt idx="6">
                  <c:v>12738</c:v>
                </c:pt>
                <c:pt idx="7">
                  <c:v>31678.399999999936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750863.7000000001</c:v>
                </c:pt>
                <c:pt idx="1">
                  <c:v>252014.19999999992</c:v>
                </c:pt>
                <c:pt idx="2">
                  <c:v>611181.3000000002</c:v>
                </c:pt>
                <c:pt idx="3">
                  <c:v>85.89999999999998</c:v>
                </c:pt>
                <c:pt idx="4">
                  <c:v>33940.4</c:v>
                </c:pt>
                <c:pt idx="5">
                  <c:v>72898.9</c:v>
                </c:pt>
                <c:pt idx="6">
                  <c:v>11852.299999999997</c:v>
                </c:pt>
                <c:pt idx="7">
                  <c:v>20904.89999999993</c:v>
                </c:pt>
              </c:numCache>
            </c:numRef>
          </c:val>
          <c:shape val="box"/>
        </c:ser>
        <c:shape val="box"/>
        <c:axId val="19799250"/>
        <c:axId val="43975523"/>
      </c:bar3DChart>
      <c:catAx>
        <c:axId val="1979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75523"/>
        <c:crosses val="autoZero"/>
        <c:auto val="1"/>
        <c:lblOffset val="100"/>
        <c:tickLblSkip val="1"/>
        <c:noMultiLvlLbl val="0"/>
      </c:catAx>
      <c:valAx>
        <c:axId val="439755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992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407842.39999999997</c:v>
                </c:pt>
                <c:pt idx="1">
                  <c:v>227797.3</c:v>
                </c:pt>
                <c:pt idx="2">
                  <c:v>407842.39999999997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374707.39999999997</c:v>
                </c:pt>
                <c:pt idx="1">
                  <c:v>223573.49999999997</c:v>
                </c:pt>
                <c:pt idx="2">
                  <c:v>374707.39999999997</c:v>
                </c:pt>
              </c:numCache>
            </c:numRef>
          </c:val>
          <c:shape val="box"/>
        </c:ser>
        <c:shape val="box"/>
        <c:axId val="60235388"/>
        <c:axId val="5247581"/>
      </c:bar3DChart>
      <c:catAx>
        <c:axId val="60235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47581"/>
        <c:crosses val="autoZero"/>
        <c:auto val="1"/>
        <c:lblOffset val="100"/>
        <c:tickLblSkip val="1"/>
        <c:noMultiLvlLbl val="0"/>
      </c:catAx>
      <c:valAx>
        <c:axId val="5247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353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22368.200000000008</c:v>
                </c:pt>
                <c:pt idx="1">
                  <c:v>11946.1</c:v>
                </c:pt>
                <c:pt idx="2">
                  <c:v>68.9</c:v>
                </c:pt>
                <c:pt idx="3">
                  <c:v>1143.9999999999998</c:v>
                </c:pt>
                <c:pt idx="4">
                  <c:v>830.3999999999999</c:v>
                </c:pt>
                <c:pt idx="5">
                  <c:v>89.5</c:v>
                </c:pt>
                <c:pt idx="6">
                  <c:v>8289.300000000008</c:v>
                </c:pt>
              </c:numCache>
            </c:numRef>
          </c:val>
          <c:shape val="box"/>
        </c:ser>
        <c:shape val="box"/>
        <c:axId val="47228230"/>
        <c:axId val="22400887"/>
      </c:bar3DChart>
      <c:catAx>
        <c:axId val="47228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00887"/>
        <c:crosses val="autoZero"/>
        <c:auto val="1"/>
        <c:lblOffset val="100"/>
        <c:tickLblSkip val="1"/>
        <c:noMultiLvlLbl val="0"/>
      </c:catAx>
      <c:valAx>
        <c:axId val="224008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282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37994.6</c:v>
                </c:pt>
                <c:pt idx="1">
                  <c:v>20189.600000000002</c:v>
                </c:pt>
                <c:pt idx="2">
                  <c:v>15.28435</c:v>
                </c:pt>
                <c:pt idx="3">
                  <c:v>1114.8</c:v>
                </c:pt>
                <c:pt idx="4">
                  <c:v>1219.9</c:v>
                </c:pt>
                <c:pt idx="5">
                  <c:v>1320</c:v>
                </c:pt>
                <c:pt idx="6">
                  <c:v>14135.015649999996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31432.799999999992</c:v>
                </c:pt>
                <c:pt idx="1">
                  <c:v>18001.700000000004</c:v>
                </c:pt>
                <c:pt idx="2">
                  <c:v>14.599999999999998</c:v>
                </c:pt>
                <c:pt idx="3">
                  <c:v>922.2</c:v>
                </c:pt>
                <c:pt idx="4">
                  <c:v>703.2</c:v>
                </c:pt>
                <c:pt idx="5">
                  <c:v>1308</c:v>
                </c:pt>
                <c:pt idx="6">
                  <c:v>10483.099999999986</c:v>
                </c:pt>
              </c:numCache>
            </c:numRef>
          </c:val>
          <c:shape val="box"/>
        </c:ser>
        <c:shape val="box"/>
        <c:axId val="281392"/>
        <c:axId val="2532529"/>
      </c:bar3DChart>
      <c:catAx>
        <c:axId val="281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32529"/>
        <c:crosses val="autoZero"/>
        <c:auto val="1"/>
        <c:lblOffset val="100"/>
        <c:tickLblSkip val="2"/>
        <c:noMultiLvlLbl val="0"/>
      </c:catAx>
      <c:valAx>
        <c:axId val="2532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3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8917.6</c:v>
                </c:pt>
                <c:pt idx="1">
                  <c:v>3133.7</c:v>
                </c:pt>
                <c:pt idx="2">
                  <c:v>393.09999999999997</c:v>
                </c:pt>
                <c:pt idx="3">
                  <c:v>379.7</c:v>
                </c:pt>
                <c:pt idx="4">
                  <c:v>4187.6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7851.099999999999</c:v>
                </c:pt>
                <c:pt idx="1">
                  <c:v>2791.2000000000007</c:v>
                </c:pt>
                <c:pt idx="2">
                  <c:v>391.1</c:v>
                </c:pt>
                <c:pt idx="3">
                  <c:v>363.69999999999993</c:v>
                </c:pt>
                <c:pt idx="4">
                  <c:v>3583.4</c:v>
                </c:pt>
                <c:pt idx="5">
                  <c:v>721.6999999999988</c:v>
                </c:pt>
              </c:numCache>
            </c:numRef>
          </c:val>
          <c:shape val="box"/>
        </c:ser>
        <c:shape val="box"/>
        <c:axId val="22792762"/>
        <c:axId val="3808267"/>
      </c:bar3DChart>
      <c:catAx>
        <c:axId val="22792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08267"/>
        <c:crosses val="autoZero"/>
        <c:auto val="1"/>
        <c:lblOffset val="100"/>
        <c:tickLblSkip val="1"/>
        <c:noMultiLvlLbl val="0"/>
      </c:catAx>
      <c:valAx>
        <c:axId val="38082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927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83670.90000000001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42038.700000000004</c:v>
                </c:pt>
              </c:numCache>
            </c:numRef>
          </c:val>
          <c:shape val="box"/>
        </c:ser>
        <c:shape val="box"/>
        <c:axId val="34274404"/>
        <c:axId val="40034181"/>
      </c:bar3DChart>
      <c:catAx>
        <c:axId val="34274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034181"/>
        <c:crosses val="autoZero"/>
        <c:auto val="1"/>
        <c:lblOffset val="100"/>
        <c:tickLblSkip val="1"/>
        <c:noMultiLvlLbl val="0"/>
      </c:catAx>
      <c:valAx>
        <c:axId val="40034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744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825669.5</c:v>
                </c:pt>
                <c:pt idx="1">
                  <c:v>407842.39999999997</c:v>
                </c:pt>
                <c:pt idx="2">
                  <c:v>24869.499999999996</c:v>
                </c:pt>
                <c:pt idx="3">
                  <c:v>37994.6</c:v>
                </c:pt>
                <c:pt idx="4">
                  <c:v>8917.6</c:v>
                </c:pt>
                <c:pt idx="5">
                  <c:v>206969.80000000002</c:v>
                </c:pt>
                <c:pt idx="6">
                  <c:v>83670.90000000001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750863.7000000001</c:v>
                </c:pt>
                <c:pt idx="1">
                  <c:v>374707.39999999997</c:v>
                </c:pt>
                <c:pt idx="2">
                  <c:v>22368.200000000008</c:v>
                </c:pt>
                <c:pt idx="3">
                  <c:v>31432.799999999992</c:v>
                </c:pt>
                <c:pt idx="4">
                  <c:v>7851.099999999999</c:v>
                </c:pt>
                <c:pt idx="5">
                  <c:v>193877.80000000005</c:v>
                </c:pt>
                <c:pt idx="6">
                  <c:v>42038.700000000004</c:v>
                </c:pt>
              </c:numCache>
            </c:numRef>
          </c:val>
          <c:shape val="box"/>
        </c:ser>
        <c:shape val="box"/>
        <c:axId val="24763310"/>
        <c:axId val="21543199"/>
      </c:bar3DChart>
      <c:catAx>
        <c:axId val="2476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43199"/>
        <c:crosses val="autoZero"/>
        <c:auto val="1"/>
        <c:lblOffset val="100"/>
        <c:tickLblSkip val="1"/>
        <c:noMultiLvlLbl val="0"/>
      </c:catAx>
      <c:valAx>
        <c:axId val="21543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633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895443.4000000001</c:v>
                </c:pt>
                <c:pt idx="1">
                  <c:v>110092.19999999998</c:v>
                </c:pt>
                <c:pt idx="2">
                  <c:v>42614.700000000004</c:v>
                </c:pt>
                <c:pt idx="3">
                  <c:v>29134.999999999996</c:v>
                </c:pt>
                <c:pt idx="4">
                  <c:v>114.48435</c:v>
                </c:pt>
                <c:pt idx="5">
                  <c:v>1132333.5156499997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839384.81</c:v>
                </c:pt>
                <c:pt idx="1">
                  <c:v>90505.59999999999</c:v>
                </c:pt>
                <c:pt idx="2">
                  <c:v>35391.6</c:v>
                </c:pt>
                <c:pt idx="3">
                  <c:v>26565.799999999996</c:v>
                </c:pt>
                <c:pt idx="4">
                  <c:v>101.89999999999998</c:v>
                </c:pt>
                <c:pt idx="5">
                  <c:v>967099.3900000002</c:v>
                </c:pt>
              </c:numCache>
            </c:numRef>
          </c:val>
          <c:shape val="box"/>
        </c:ser>
        <c:shape val="box"/>
        <c:axId val="59671064"/>
        <c:axId val="168665"/>
      </c:bar3DChart>
      <c:catAx>
        <c:axId val="59671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8665"/>
        <c:crosses val="autoZero"/>
        <c:auto val="1"/>
        <c:lblOffset val="100"/>
        <c:tickLblSkip val="1"/>
        <c:noMultiLvlLbl val="0"/>
      </c:catAx>
      <c:valAx>
        <c:axId val="1686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710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zoomScale="80" zoomScaleNormal="80" zoomScalePageLayoutView="0" workbookViewId="0" topLeftCell="A1">
      <pane xSplit="1" ySplit="5" topLeftCell="C14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49" sqref="L149"/>
    </sheetView>
  </sheetViews>
  <sheetFormatPr defaultColWidth="9.00390625" defaultRowHeight="12.75"/>
  <cols>
    <col min="1" max="1" width="66.875" style="136" customWidth="1"/>
    <col min="2" max="2" width="19.00390625" style="136" hidden="1" customWidth="1"/>
    <col min="3" max="3" width="18.375" style="137" customWidth="1"/>
    <col min="4" max="4" width="19.00390625" style="137" customWidth="1"/>
    <col min="5" max="5" width="17.25390625" style="137" customWidth="1"/>
    <col min="6" max="6" width="19.375" style="137" hidden="1" customWidth="1"/>
    <col min="7" max="7" width="19.375" style="137" customWidth="1"/>
    <col min="8" max="8" width="19.75390625" style="137" hidden="1" customWidth="1"/>
    <col min="9" max="9" width="21.00390625" style="137" customWidth="1"/>
    <col min="10" max="10" width="9.125" style="137" customWidth="1"/>
    <col min="11" max="11" width="21.125" style="137" bestFit="1" customWidth="1"/>
    <col min="12" max="12" width="31.375" style="137" bestFit="1" customWidth="1"/>
    <col min="13" max="16" width="9.125" style="137" customWidth="1"/>
    <col min="17" max="17" width="11.375" style="137" bestFit="1" customWidth="1"/>
    <col min="18" max="16384" width="9.125" style="137" customWidth="1"/>
  </cols>
  <sheetData>
    <row r="1" spans="1:9" ht="66.75" customHeight="1">
      <c r="A1" s="162" t="s">
        <v>112</v>
      </c>
      <c r="B1" s="162"/>
      <c r="C1" s="162"/>
      <c r="D1" s="162"/>
      <c r="E1" s="162"/>
      <c r="F1" s="162"/>
      <c r="G1" s="162"/>
      <c r="H1" s="162"/>
      <c r="I1" s="162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6" t="s">
        <v>40</v>
      </c>
      <c r="B3" s="169" t="s">
        <v>109</v>
      </c>
      <c r="C3" s="163" t="s">
        <v>106</v>
      </c>
      <c r="D3" s="163" t="s">
        <v>22</v>
      </c>
      <c r="E3" s="163" t="s">
        <v>21</v>
      </c>
      <c r="F3" s="163" t="s">
        <v>110</v>
      </c>
      <c r="G3" s="163" t="s">
        <v>107</v>
      </c>
      <c r="H3" s="163" t="s">
        <v>111</v>
      </c>
      <c r="I3" s="163" t="s">
        <v>108</v>
      </c>
    </row>
    <row r="4" spans="1:9" ht="24.75" customHeight="1">
      <c r="A4" s="167"/>
      <c r="B4" s="170"/>
      <c r="C4" s="164"/>
      <c r="D4" s="164"/>
      <c r="E4" s="164"/>
      <c r="F4" s="164"/>
      <c r="G4" s="164"/>
      <c r="H4" s="164"/>
      <c r="I4" s="164"/>
    </row>
    <row r="5" spans="1:10" ht="39" customHeight="1" thickBot="1">
      <c r="A5" s="168"/>
      <c r="B5" s="171"/>
      <c r="C5" s="165"/>
      <c r="D5" s="165"/>
      <c r="E5" s="165"/>
      <c r="F5" s="165"/>
      <c r="G5" s="165"/>
      <c r="H5" s="165"/>
      <c r="I5" s="165"/>
      <c r="J5" s="151"/>
    </row>
    <row r="6" spans="1:11" ht="18.75" thickBot="1">
      <c r="A6" s="18" t="s">
        <v>26</v>
      </c>
      <c r="B6" s="35">
        <f>681593+809.8+52048.5+19179.6</f>
        <v>753630.9</v>
      </c>
      <c r="C6" s="36">
        <f>826775+13431.5+510-13431.5+16-2334+20.8+1070.1+1061.7-1450.1</f>
        <v>825669.5</v>
      </c>
      <c r="D6" s="37">
        <f>673697.2+1047.5+996.5+41.9+1483.1+1089.5+310.7+33936.7+8+48.4+10.8+189.5+2.7+2940.9+75.1+96.8+16177.8+9723.8+110.1+3329.9+131.8+2527.6+2845.6+41.8</f>
        <v>750863.7000000001</v>
      </c>
      <c r="E6" s="3">
        <f>D6/D154*100</f>
        <v>38.32796737968436</v>
      </c>
      <c r="F6" s="3">
        <f>D6/B6*100</f>
        <v>99.63281760341833</v>
      </c>
      <c r="G6" s="3">
        <f aca="true" t="shared" si="0" ref="G6:G43">D6/C6*100</f>
        <v>90.93998264438738</v>
      </c>
      <c r="H6" s="37">
        <f>B6-D6</f>
        <v>2767.1999999999534</v>
      </c>
      <c r="I6" s="37">
        <f aca="true" t="shared" si="1" ref="I6:I43">C6-D6</f>
        <v>74805.79999999993</v>
      </c>
      <c r="J6" s="152"/>
      <c r="K6" s="153"/>
    </row>
    <row r="7" spans="1:12" s="85" customFormat="1" ht="18.75">
      <c r="A7" s="128" t="s">
        <v>81</v>
      </c>
      <c r="B7" s="129">
        <f>223162+19179.6</f>
        <v>242341.6</v>
      </c>
      <c r="C7" s="130">
        <v>262517.6</v>
      </c>
      <c r="D7" s="131">
        <f>8282.7+10875.2+9132.6+9963.6+4.3+9215.1+9968.6+9459.9+11450.4+9572.3+23759.4-0.1+3644+36528.9+8511.9+179.9+764+816.4+0.1+3426.1+9016.3+0.5+9355.5+12599.9+4130.8+9728.1+12165.8+32.8+9616.3+10086.4+2.7+9723.8</f>
        <v>252014.19999999992</v>
      </c>
      <c r="E7" s="132">
        <f>D7/D6*100</f>
        <v>33.56324190395672</v>
      </c>
      <c r="F7" s="132">
        <f>D7/B7*100</f>
        <v>103.99130813694386</v>
      </c>
      <c r="G7" s="132">
        <f>D7/C7*100</f>
        <v>95.9989730212374</v>
      </c>
      <c r="H7" s="131">
        <f>B7-D7</f>
        <v>-9672.599999999919</v>
      </c>
      <c r="I7" s="131">
        <f t="shared" si="1"/>
        <v>10503.400000000052</v>
      </c>
      <c r="J7" s="147"/>
      <c r="K7" s="153"/>
      <c r="L7" s="127"/>
    </row>
    <row r="8" spans="1:12" s="151" customFormat="1" ht="18">
      <c r="A8" s="92" t="s">
        <v>3</v>
      </c>
      <c r="B8" s="114">
        <v>603128.1</v>
      </c>
      <c r="C8" s="115">
        <f>649221.9+8415.5-2000+877-4458.2</f>
        <v>652056.2000000001</v>
      </c>
      <c r="D8" s="94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+11367.5+9728.1+31110.2+47.7+29.6+11907.8+9616.3+20743.5+2762.5+10086.4+2.7+11.5+12146.1+9723.8</f>
        <v>611181.3000000002</v>
      </c>
      <c r="E8" s="96">
        <f>D8/D6*100</f>
        <v>81.39710309607457</v>
      </c>
      <c r="F8" s="96">
        <f>D8/B8*100</f>
        <v>101.33523873286623</v>
      </c>
      <c r="G8" s="96">
        <f t="shared" si="0"/>
        <v>93.73138388991626</v>
      </c>
      <c r="H8" s="94">
        <f>B8-D8</f>
        <v>-8053.200000000186</v>
      </c>
      <c r="I8" s="94">
        <f t="shared" si="1"/>
        <v>40874.89999999991</v>
      </c>
      <c r="J8" s="152"/>
      <c r="K8" s="153"/>
      <c r="L8" s="127"/>
    </row>
    <row r="9" spans="1:12" s="151" customFormat="1" ht="18">
      <c r="A9" s="92" t="s">
        <v>2</v>
      </c>
      <c r="B9" s="114">
        <v>97.7</v>
      </c>
      <c r="C9" s="115">
        <v>97.7</v>
      </c>
      <c r="D9" s="94">
        <f>3.4+5.4+0.8+4.1+3.6+0.3+0.3+3.4+3.4+3.6+2.1+4+2.9+3+2.4+1.4+2+0.9+5.2+1+8.5+6.6+1.4+1.1+0.8+2.6+4.8+5.3+1.6</f>
        <v>85.89999999999998</v>
      </c>
      <c r="E9" s="116">
        <f>D9/D6*100</f>
        <v>0.011440158846405809</v>
      </c>
      <c r="F9" s="96">
        <f>D9/B9*100</f>
        <v>87.92221084953938</v>
      </c>
      <c r="G9" s="96">
        <f t="shared" si="0"/>
        <v>87.92221084953938</v>
      </c>
      <c r="H9" s="94">
        <f aca="true" t="shared" si="2" ref="H9:H43">B9-D9</f>
        <v>11.800000000000026</v>
      </c>
      <c r="I9" s="94">
        <f t="shared" si="1"/>
        <v>11.800000000000026</v>
      </c>
      <c r="J9" s="152"/>
      <c r="K9" s="153"/>
      <c r="L9" s="127"/>
    </row>
    <row r="10" spans="1:12" s="151" customFormat="1" ht="18">
      <c r="A10" s="92" t="s">
        <v>1</v>
      </c>
      <c r="B10" s="114">
        <f>36216.9</f>
        <v>36216.9</v>
      </c>
      <c r="C10" s="115">
        <f>52816.3-8415.5-19.2-3934.8+480</f>
        <v>40926.8</v>
      </c>
      <c r="D10" s="133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+632.4+532.2+293.2+75.2+154.6+460.1+437.8+5.7+1098.9+957.8+302.2+523.8+626.1+7.2+39.9+625.4+172.1+511.6+224.9+414.4+685.4+163.3+923.7+8.8+387+59.5+184+415.7</f>
        <v>33940.4</v>
      </c>
      <c r="E10" s="96">
        <f>D10/D6*100</f>
        <v>4.5201812259668435</v>
      </c>
      <c r="F10" s="96">
        <f aca="true" t="shared" si="3" ref="F10:F41">D10/B10*100</f>
        <v>93.71426046955979</v>
      </c>
      <c r="G10" s="96">
        <f t="shared" si="0"/>
        <v>82.92952295317494</v>
      </c>
      <c r="H10" s="94">
        <f t="shared" si="2"/>
        <v>2276.5</v>
      </c>
      <c r="I10" s="94">
        <f t="shared" si="1"/>
        <v>6986.4000000000015</v>
      </c>
      <c r="J10" s="152"/>
      <c r="K10" s="153"/>
      <c r="L10" s="127"/>
    </row>
    <row r="11" spans="1:12" s="151" customFormat="1" ht="18">
      <c r="A11" s="92" t="s">
        <v>0</v>
      </c>
      <c r="B11" s="114">
        <f>61296.9+809.8+12951</f>
        <v>75057.70000000001</v>
      </c>
      <c r="C11" s="115">
        <v>88172.4</v>
      </c>
      <c r="D11" s="134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+93.8+382.3+126.3+158.9+1031.6+29+18.5+597.4+444.9+8+101.9+21.3+231+4.2+849.6+1744.6+232.4+552.6+12.9+535.9+400.1+27.1+311.1+4.1+59+179.7+1587.4+15.4+73.9+3608.3+77+2335+33.3+1648.8+1898.4+0.2</f>
        <v>72898.9</v>
      </c>
      <c r="E11" s="96">
        <f>D11/D6*100</f>
        <v>9.708672825707247</v>
      </c>
      <c r="F11" s="96">
        <f t="shared" si="3"/>
        <v>97.12381274672683</v>
      </c>
      <c r="G11" s="96">
        <f t="shared" si="0"/>
        <v>82.67768598790552</v>
      </c>
      <c r="H11" s="94">
        <f t="shared" si="2"/>
        <v>2158.8000000000175</v>
      </c>
      <c r="I11" s="94">
        <f t="shared" si="1"/>
        <v>15273.5</v>
      </c>
      <c r="J11" s="152"/>
      <c r="K11" s="153"/>
      <c r="L11" s="127"/>
    </row>
    <row r="12" spans="1:12" s="151" customFormat="1" ht="18">
      <c r="A12" s="92" t="s">
        <v>14</v>
      </c>
      <c r="B12" s="114">
        <v>11603.9</v>
      </c>
      <c r="C12" s="115">
        <v>12738</v>
      </c>
      <c r="D12" s="94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+10.3+190.9+136.5+739.3+208.9+3.5+42+191.4+18+329.4+25.6+11.8+258.6+46.7+50.9+19+362.6+324.6+23.1</f>
        <v>11852.299999999997</v>
      </c>
      <c r="E12" s="96">
        <f>D12/D6*100</f>
        <v>1.5784888788737552</v>
      </c>
      <c r="F12" s="96">
        <f t="shared" si="3"/>
        <v>102.14065960582217</v>
      </c>
      <c r="G12" s="96">
        <f t="shared" si="0"/>
        <v>93.04678913487201</v>
      </c>
      <c r="H12" s="94">
        <f>B12-D12</f>
        <v>-248.39999999999782</v>
      </c>
      <c r="I12" s="94">
        <f t="shared" si="1"/>
        <v>885.7000000000025</v>
      </c>
      <c r="J12" s="152"/>
      <c r="K12" s="153"/>
      <c r="L12" s="127"/>
    </row>
    <row r="13" spans="1:12" s="151" customFormat="1" ht="18.75" thickBot="1">
      <c r="A13" s="92" t="s">
        <v>27</v>
      </c>
      <c r="B13" s="115">
        <f>B6-B8-B9-B10-B11-B12</f>
        <v>27526.600000000028</v>
      </c>
      <c r="C13" s="115">
        <f>C6-C8-C9-C10-C11-C12</f>
        <v>31678.399999999936</v>
      </c>
      <c r="D13" s="115">
        <f>D6-D8-D9-D10-D11-D12</f>
        <v>20904.89999999993</v>
      </c>
      <c r="E13" s="96">
        <f>D13/D6*100</f>
        <v>2.784113814531176</v>
      </c>
      <c r="F13" s="96">
        <f t="shared" si="3"/>
        <v>75.9443592743016</v>
      </c>
      <c r="G13" s="96">
        <f t="shared" si="0"/>
        <v>65.99102227385212</v>
      </c>
      <c r="H13" s="94">
        <f t="shared" si="2"/>
        <v>6621.700000000099</v>
      </c>
      <c r="I13" s="94">
        <f t="shared" si="1"/>
        <v>10773.500000000007</v>
      </c>
      <c r="J13" s="152"/>
      <c r="K13" s="153"/>
      <c r="L13" s="127"/>
    </row>
    <row r="14" spans="1:13" s="29" customFormat="1" ht="18.75" customHeight="1" hidden="1">
      <c r="A14" s="70" t="s">
        <v>61</v>
      </c>
      <c r="B14" s="68"/>
      <c r="C14" s="68"/>
      <c r="D14" s="68"/>
      <c r="E14" s="69"/>
      <c r="F14" s="69" t="e">
        <f>D14/B14*100</f>
        <v>#DIV/0!</v>
      </c>
      <c r="G14" s="69" t="e">
        <f>D14/C14*100</f>
        <v>#DIV/0!</v>
      </c>
      <c r="H14" s="73">
        <f>B14-D14</f>
        <v>0</v>
      </c>
      <c r="I14" s="73">
        <f>C14-D14</f>
        <v>0</v>
      </c>
      <c r="J14" s="147"/>
      <c r="K14" s="137"/>
      <c r="L14" s="137"/>
      <c r="M14" s="137"/>
    </row>
    <row r="15" spans="1:13" s="29" customFormat="1" ht="18.75" customHeight="1" hidden="1">
      <c r="A15" s="70" t="s">
        <v>58</v>
      </c>
      <c r="B15" s="68"/>
      <c r="C15" s="68"/>
      <c r="D15" s="68"/>
      <c r="E15" s="69"/>
      <c r="F15" s="69" t="e">
        <f>D15/B15*100</f>
        <v>#DIV/0!</v>
      </c>
      <c r="G15" s="69" t="e">
        <f>D15/C15*100</f>
        <v>#DIV/0!</v>
      </c>
      <c r="H15" s="73">
        <f>B15-D15</f>
        <v>0</v>
      </c>
      <c r="I15" s="73">
        <f>C15-D15</f>
        <v>0</v>
      </c>
      <c r="J15" s="147"/>
      <c r="K15" s="137"/>
      <c r="L15" s="137"/>
      <c r="M15" s="137"/>
    </row>
    <row r="16" spans="1:13" s="29" customFormat="1" ht="19.5" hidden="1" thickBot="1">
      <c r="A16" s="70" t="s">
        <v>59</v>
      </c>
      <c r="B16" s="68"/>
      <c r="C16" s="68"/>
      <c r="D16" s="68"/>
      <c r="E16" s="69"/>
      <c r="F16" s="69" t="e">
        <f>D16/B16*100</f>
        <v>#DIV/0!</v>
      </c>
      <c r="G16" s="69" t="e">
        <f>D16/C16*100</f>
        <v>#DIV/0!</v>
      </c>
      <c r="H16" s="73">
        <f>B16-D16</f>
        <v>0</v>
      </c>
      <c r="I16" s="73">
        <f>C16-D16</f>
        <v>0</v>
      </c>
      <c r="J16" s="147"/>
      <c r="K16" s="137"/>
      <c r="L16" s="137"/>
      <c r="M16" s="137"/>
    </row>
    <row r="17" spans="1:13" s="29" customFormat="1" ht="19.5" hidden="1" thickBot="1">
      <c r="A17" s="70" t="s">
        <v>60</v>
      </c>
      <c r="B17" s="68"/>
      <c r="C17" s="68"/>
      <c r="D17" s="68"/>
      <c r="E17" s="69"/>
      <c r="F17" s="69" t="e">
        <f>D17/B17*100</f>
        <v>#DIV/0!</v>
      </c>
      <c r="G17" s="69" t="e">
        <f>D17/C17*100</f>
        <v>#DIV/0!</v>
      </c>
      <c r="H17" s="73">
        <f>B17-D17</f>
        <v>0</v>
      </c>
      <c r="I17" s="73">
        <f>C17-D17</f>
        <v>0</v>
      </c>
      <c r="J17" s="147"/>
      <c r="K17" s="137"/>
      <c r="L17" s="137"/>
      <c r="M17" s="137"/>
    </row>
    <row r="18" spans="1:11" ht="18.75" thickBot="1">
      <c r="A18" s="18" t="s">
        <v>19</v>
      </c>
      <c r="B18" s="35">
        <f>333159.1-2662.4+17838.6+15694.7-1079.1</f>
        <v>362950.89999999997</v>
      </c>
      <c r="C18" s="36">
        <f>424151.5+750.3+185.6-18990.5+1745.5</f>
        <v>407842.39999999997</v>
      </c>
      <c r="D18" s="37">
        <f>337105.1+363.9+729.2+15.5+327.8+10035.9+3545.6+2688.8+857.2+448.5+1785.9+1404+10311.8+533.9+378.8+485.5+17.6+3272.6+399.8</f>
        <v>374707.39999999997</v>
      </c>
      <c r="E18" s="3">
        <f>D18/D154*100</f>
        <v>19.127004014345523</v>
      </c>
      <c r="F18" s="3">
        <f>D18/B18*100</f>
        <v>103.23914336622391</v>
      </c>
      <c r="G18" s="3">
        <f t="shared" si="0"/>
        <v>91.87553819808828</v>
      </c>
      <c r="H18" s="37">
        <f>B18-D18</f>
        <v>-11756.5</v>
      </c>
      <c r="I18" s="37">
        <f t="shared" si="1"/>
        <v>33135</v>
      </c>
      <c r="J18" s="152"/>
      <c r="K18" s="153"/>
    </row>
    <row r="19" spans="1:13" s="85" customFormat="1" ht="18.75">
      <c r="A19" s="128" t="s">
        <v>82</v>
      </c>
      <c r="B19" s="129">
        <f>196322.2+15694.8</f>
        <v>212017</v>
      </c>
      <c r="C19" s="130">
        <f>226186+750.3+185.6+589.9+85.5</f>
        <v>227797.3</v>
      </c>
      <c r="D19" s="131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+338.7+7510.8+1602.7+929.4+2.1+2.3+297.2+74.9+2+6.5+4734+196.3+34.6+31.3+146.9+1765.2+9166.5+765.1+37.9+729.2+327.8+3545.5+448.5+10311.8+378.8+17.6+399.8</f>
        <v>223573.49999999997</v>
      </c>
      <c r="E19" s="132">
        <f>D19/D18*100</f>
        <v>59.66615551227438</v>
      </c>
      <c r="F19" s="132">
        <f t="shared" si="3"/>
        <v>105.4507421574685</v>
      </c>
      <c r="G19" s="132">
        <f t="shared" si="0"/>
        <v>98.1458076983353</v>
      </c>
      <c r="H19" s="131">
        <f t="shared" si="2"/>
        <v>-11556.49999999997</v>
      </c>
      <c r="I19" s="131">
        <f t="shared" si="1"/>
        <v>4223.8000000000175</v>
      </c>
      <c r="J19" s="147"/>
      <c r="K19" s="153"/>
      <c r="L19" s="151"/>
      <c r="M19" s="151"/>
    </row>
    <row r="20" spans="1:11" s="151" customFormat="1" ht="18" hidden="1">
      <c r="A20" s="92" t="s">
        <v>5</v>
      </c>
      <c r="B20" s="114"/>
      <c r="C20" s="115"/>
      <c r="D20" s="94"/>
      <c r="E20" s="96">
        <f>D20/D18*100</f>
        <v>0</v>
      </c>
      <c r="F20" s="96" t="e">
        <f t="shared" si="3"/>
        <v>#DIV/0!</v>
      </c>
      <c r="G20" s="96" t="e">
        <f t="shared" si="0"/>
        <v>#DIV/0!</v>
      </c>
      <c r="H20" s="94">
        <f t="shared" si="2"/>
        <v>0</v>
      </c>
      <c r="I20" s="94">
        <f t="shared" si="1"/>
        <v>0</v>
      </c>
      <c r="J20" s="152"/>
      <c r="K20" s="153">
        <f>C20-B20</f>
        <v>0</v>
      </c>
    </row>
    <row r="21" spans="1:11" s="151" customFormat="1" ht="18" hidden="1">
      <c r="A21" s="92" t="s">
        <v>2</v>
      </c>
      <c r="B21" s="114"/>
      <c r="C21" s="115"/>
      <c r="D21" s="94"/>
      <c r="E21" s="96">
        <f>D21/D18*100</f>
        <v>0</v>
      </c>
      <c r="F21" s="96" t="e">
        <f t="shared" si="3"/>
        <v>#DIV/0!</v>
      </c>
      <c r="G21" s="96" t="e">
        <f t="shared" si="0"/>
        <v>#DIV/0!</v>
      </c>
      <c r="H21" s="94">
        <f t="shared" si="2"/>
        <v>0</v>
      </c>
      <c r="I21" s="94">
        <f t="shared" si="1"/>
        <v>0</v>
      </c>
      <c r="J21" s="152"/>
      <c r="K21" s="153">
        <f>C21-B21</f>
        <v>0</v>
      </c>
    </row>
    <row r="22" spans="1:11" s="151" customFormat="1" ht="18" hidden="1">
      <c r="A22" s="92" t="s">
        <v>1</v>
      </c>
      <c r="B22" s="114"/>
      <c r="C22" s="115"/>
      <c r="D22" s="94"/>
      <c r="E22" s="96">
        <f>D22/D18*100</f>
        <v>0</v>
      </c>
      <c r="F22" s="96" t="e">
        <f t="shared" si="3"/>
        <v>#DIV/0!</v>
      </c>
      <c r="G22" s="96" t="e">
        <f t="shared" si="0"/>
        <v>#DIV/0!</v>
      </c>
      <c r="H22" s="94">
        <f t="shared" si="2"/>
        <v>0</v>
      </c>
      <c r="I22" s="94">
        <f t="shared" si="1"/>
        <v>0</v>
      </c>
      <c r="J22" s="152"/>
      <c r="K22" s="153">
        <f>C22-B22</f>
        <v>0</v>
      </c>
    </row>
    <row r="23" spans="1:11" s="151" customFormat="1" ht="18" hidden="1">
      <c r="A23" s="92" t="s">
        <v>0</v>
      </c>
      <c r="B23" s="114"/>
      <c r="C23" s="115"/>
      <c r="D23" s="94"/>
      <c r="E23" s="96">
        <f>D23/D18*100</f>
        <v>0</v>
      </c>
      <c r="F23" s="96" t="e">
        <f t="shared" si="3"/>
        <v>#DIV/0!</v>
      </c>
      <c r="G23" s="96" t="e">
        <f t="shared" si="0"/>
        <v>#DIV/0!</v>
      </c>
      <c r="H23" s="94">
        <f t="shared" si="2"/>
        <v>0</v>
      </c>
      <c r="I23" s="94">
        <f t="shared" si="1"/>
        <v>0</v>
      </c>
      <c r="J23" s="152"/>
      <c r="K23" s="153">
        <f>C23-B23</f>
        <v>0</v>
      </c>
    </row>
    <row r="24" spans="1:11" s="151" customFormat="1" ht="18" hidden="1">
      <c r="A24" s="92" t="s">
        <v>14</v>
      </c>
      <c r="B24" s="114"/>
      <c r="C24" s="115"/>
      <c r="D24" s="94"/>
      <c r="E24" s="96">
        <f>D24/D18*100</f>
        <v>0</v>
      </c>
      <c r="F24" s="96" t="e">
        <f t="shared" si="3"/>
        <v>#DIV/0!</v>
      </c>
      <c r="G24" s="96" t="e">
        <f t="shared" si="0"/>
        <v>#DIV/0!</v>
      </c>
      <c r="H24" s="94">
        <f t="shared" si="2"/>
        <v>0</v>
      </c>
      <c r="I24" s="94">
        <f t="shared" si="1"/>
        <v>0</v>
      </c>
      <c r="J24" s="152"/>
      <c r="K24" s="153">
        <f>C24-B24</f>
        <v>0</v>
      </c>
    </row>
    <row r="25" spans="1:11" s="151" customFormat="1" ht="18.75" thickBot="1">
      <c r="A25" s="92" t="s">
        <v>27</v>
      </c>
      <c r="B25" s="115">
        <f>B18</f>
        <v>362950.89999999997</v>
      </c>
      <c r="C25" s="115">
        <f>C18</f>
        <v>407842.39999999997</v>
      </c>
      <c r="D25" s="115">
        <f>D18</f>
        <v>374707.39999999997</v>
      </c>
      <c r="E25" s="96">
        <f>D25/D18*100</f>
        <v>100</v>
      </c>
      <c r="F25" s="96">
        <f t="shared" si="3"/>
        <v>103.23914336622391</v>
      </c>
      <c r="G25" s="96">
        <f t="shared" si="0"/>
        <v>91.87553819808828</v>
      </c>
      <c r="H25" s="94">
        <f t="shared" si="2"/>
        <v>-11756.5</v>
      </c>
      <c r="I25" s="94">
        <f t="shared" si="1"/>
        <v>33135</v>
      </c>
      <c r="J25" s="152"/>
      <c r="K25" s="153"/>
    </row>
    <row r="26" spans="1:11" ht="57" hidden="1" thickBot="1">
      <c r="A26" s="70" t="s">
        <v>69</v>
      </c>
      <c r="B26" s="33"/>
      <c r="C26" s="33"/>
      <c r="D26" s="33"/>
      <c r="E26" s="1"/>
      <c r="F26" s="1" t="e">
        <f t="shared" si="3"/>
        <v>#DIV/0!</v>
      </c>
      <c r="G26" s="1" t="e">
        <f t="shared" si="0"/>
        <v>#DIV/0!</v>
      </c>
      <c r="H26" s="34">
        <f t="shared" si="2"/>
        <v>0</v>
      </c>
      <c r="I26" s="34">
        <f t="shared" si="1"/>
        <v>0</v>
      </c>
      <c r="J26" s="152"/>
      <c r="K26" s="153">
        <f aca="true" t="shared" si="4" ref="K26:K32">C26-B26</f>
        <v>0</v>
      </c>
    </row>
    <row r="27" spans="1:11" ht="36.75" customHeight="1" hidden="1">
      <c r="A27" s="70" t="s">
        <v>70</v>
      </c>
      <c r="B27" s="33"/>
      <c r="C27" s="33"/>
      <c r="D27" s="33"/>
      <c r="E27" s="1"/>
      <c r="F27" s="1" t="e">
        <f t="shared" si="3"/>
        <v>#DIV/0!</v>
      </c>
      <c r="G27" s="1" t="e">
        <f t="shared" si="0"/>
        <v>#DIV/0!</v>
      </c>
      <c r="H27" s="34">
        <f t="shared" si="2"/>
        <v>0</v>
      </c>
      <c r="I27" s="34">
        <f t="shared" si="1"/>
        <v>0</v>
      </c>
      <c r="J27" s="152"/>
      <c r="K27" s="153">
        <f t="shared" si="4"/>
        <v>0</v>
      </c>
    </row>
    <row r="28" spans="1:11" ht="19.5" hidden="1" thickBot="1">
      <c r="A28" s="70" t="s">
        <v>71</v>
      </c>
      <c r="B28" s="33"/>
      <c r="C28" s="33"/>
      <c r="D28" s="33"/>
      <c r="E28" s="1"/>
      <c r="F28" s="1" t="e">
        <f t="shared" si="3"/>
        <v>#DIV/0!</v>
      </c>
      <c r="G28" s="1" t="e">
        <f t="shared" si="0"/>
        <v>#DIV/0!</v>
      </c>
      <c r="H28" s="34">
        <f t="shared" si="2"/>
        <v>0</v>
      </c>
      <c r="I28" s="34">
        <f t="shared" si="1"/>
        <v>0</v>
      </c>
      <c r="J28" s="152"/>
      <c r="K28" s="153">
        <f t="shared" si="4"/>
        <v>0</v>
      </c>
    </row>
    <row r="29" spans="1:11" ht="39.75" customHeight="1" hidden="1">
      <c r="A29" s="70" t="s">
        <v>72</v>
      </c>
      <c r="B29" s="33"/>
      <c r="C29" s="33"/>
      <c r="D29" s="33"/>
      <c r="E29" s="1"/>
      <c r="F29" s="1" t="e">
        <f t="shared" si="3"/>
        <v>#DIV/0!</v>
      </c>
      <c r="G29" s="1" t="e">
        <f t="shared" si="0"/>
        <v>#DIV/0!</v>
      </c>
      <c r="H29" s="34">
        <f t="shared" si="2"/>
        <v>0</v>
      </c>
      <c r="I29" s="34">
        <f t="shared" si="1"/>
        <v>0</v>
      </c>
      <c r="J29" s="152"/>
      <c r="K29" s="153">
        <f t="shared" si="4"/>
        <v>0</v>
      </c>
    </row>
    <row r="30" spans="1:11" ht="37.5" customHeight="1" hidden="1">
      <c r="A30" s="70" t="s">
        <v>73</v>
      </c>
      <c r="B30" s="33"/>
      <c r="C30" s="33"/>
      <c r="D30" s="33"/>
      <c r="E30" s="1"/>
      <c r="F30" s="1" t="e">
        <f>D30/B30*100</f>
        <v>#DIV/0!</v>
      </c>
      <c r="G30" s="1" t="e">
        <f t="shared" si="0"/>
        <v>#DIV/0!</v>
      </c>
      <c r="H30" s="34">
        <f t="shared" si="2"/>
        <v>0</v>
      </c>
      <c r="I30" s="34">
        <f t="shared" si="1"/>
        <v>0</v>
      </c>
      <c r="J30" s="152"/>
      <c r="K30" s="153">
        <f t="shared" si="4"/>
        <v>0</v>
      </c>
    </row>
    <row r="31" spans="1:11" ht="36" customHeight="1" hidden="1">
      <c r="A31" s="70" t="s">
        <v>74</v>
      </c>
      <c r="B31" s="33"/>
      <c r="C31" s="33"/>
      <c r="D31" s="33"/>
      <c r="E31" s="1"/>
      <c r="F31" s="1" t="e">
        <f t="shared" si="3"/>
        <v>#DIV/0!</v>
      </c>
      <c r="G31" s="1" t="e">
        <f t="shared" si="0"/>
        <v>#DIV/0!</v>
      </c>
      <c r="H31" s="34">
        <f t="shared" si="2"/>
        <v>0</v>
      </c>
      <c r="I31" s="34">
        <f t="shared" si="1"/>
        <v>0</v>
      </c>
      <c r="J31" s="152"/>
      <c r="K31" s="153">
        <f t="shared" si="4"/>
        <v>0</v>
      </c>
    </row>
    <row r="32" spans="1:11" ht="19.5" hidden="1" thickBot="1">
      <c r="A32" s="70" t="s">
        <v>75</v>
      </c>
      <c r="B32" s="33"/>
      <c r="C32" s="33"/>
      <c r="D32" s="33"/>
      <c r="E32" s="1"/>
      <c r="F32" s="1" t="e">
        <f t="shared" si="3"/>
        <v>#DIV/0!</v>
      </c>
      <c r="G32" s="1" t="e">
        <f t="shared" si="0"/>
        <v>#DIV/0!</v>
      </c>
      <c r="H32" s="34">
        <f t="shared" si="2"/>
        <v>0</v>
      </c>
      <c r="I32" s="34">
        <f t="shared" si="1"/>
        <v>0</v>
      </c>
      <c r="J32" s="152"/>
      <c r="K32" s="153">
        <f t="shared" si="4"/>
        <v>0</v>
      </c>
    </row>
    <row r="33" spans="1:11" ht="18.75" thickBot="1">
      <c r="A33" s="18" t="s">
        <v>17</v>
      </c>
      <c r="B33" s="35">
        <f>20177.6+27.7+2+2155.9+7.9</f>
        <v>22371.100000000002</v>
      </c>
      <c r="C33" s="36">
        <f>24805.1-17.2+81.6</f>
        <v>24869.499999999996</v>
      </c>
      <c r="D33" s="39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+450.2+96+254.5+313.5+33.3+77.8+21.2+929.4+44+633.7-0.1+388.8+276.2+42+3.6+157.7+33.2+612.1+41.3+138.7+76.7+14.6+10.4+451.7+35.9+3.8+284.8</f>
        <v>22368.200000000008</v>
      </c>
      <c r="E33" s="3">
        <f>D33/D154*100</f>
        <v>1.1417886361296408</v>
      </c>
      <c r="F33" s="3">
        <f>D33/B33*100</f>
        <v>99.98703684664592</v>
      </c>
      <c r="G33" s="3">
        <f t="shared" si="0"/>
        <v>89.94229879973466</v>
      </c>
      <c r="H33" s="37">
        <f t="shared" si="2"/>
        <v>2.8999999999941792</v>
      </c>
      <c r="I33" s="37">
        <f t="shared" si="1"/>
        <v>2501.2999999999884</v>
      </c>
      <c r="J33" s="152"/>
      <c r="K33" s="153"/>
    </row>
    <row r="34" spans="1:11" s="151" customFormat="1" ht="18">
      <c r="A34" s="92" t="s">
        <v>3</v>
      </c>
      <c r="B34" s="114">
        <f>10871.7+993.6</f>
        <v>11865.300000000001</v>
      </c>
      <c r="C34" s="115">
        <f>12906.6+40</f>
        <v>12946.6</v>
      </c>
      <c r="D34" s="94">
        <f>364.6+548.1+389.3+522.2+63+395+556.7+63+391.3+512.8+63+394.6+664.3+89.8+0.3+456.7+632.3+12+89.8+485+19+3.6+623.1+89.8+9.9+419.4+475.8+71.8+336.5+18.5+2.5+155.1+372.7+96+254.3+89.8+21.2+809.4+383.8+16.4+583.7+400</f>
        <v>11946.1</v>
      </c>
      <c r="E34" s="96">
        <f>D34/D33*100</f>
        <v>53.406621900734066</v>
      </c>
      <c r="F34" s="96">
        <f t="shared" si="3"/>
        <v>100.68097730356584</v>
      </c>
      <c r="G34" s="96">
        <f t="shared" si="0"/>
        <v>92.27210232802435</v>
      </c>
      <c r="H34" s="94">
        <f t="shared" si="2"/>
        <v>-80.79999999999927</v>
      </c>
      <c r="I34" s="94">
        <f t="shared" si="1"/>
        <v>1000.5</v>
      </c>
      <c r="J34" s="152"/>
      <c r="K34" s="153"/>
    </row>
    <row r="35" spans="1:11" s="151" customFormat="1" ht="18">
      <c r="A35" s="92" t="s">
        <v>1</v>
      </c>
      <c r="B35" s="114">
        <v>59.6</v>
      </c>
      <c r="C35" s="115">
        <v>81.1</v>
      </c>
      <c r="D35" s="94">
        <f>6.8+8.7+11.6+32.5+4.4+4.9</f>
        <v>68.9</v>
      </c>
      <c r="E35" s="96">
        <f>D35/D33*100</f>
        <v>0.3080265734390786</v>
      </c>
      <c r="F35" s="96">
        <f t="shared" si="3"/>
        <v>115.60402684563759</v>
      </c>
      <c r="G35" s="96">
        <f t="shared" si="0"/>
        <v>84.95684340320592</v>
      </c>
      <c r="H35" s="94">
        <f t="shared" si="2"/>
        <v>-9.300000000000004</v>
      </c>
      <c r="I35" s="94">
        <f t="shared" si="1"/>
        <v>12.199999999999989</v>
      </c>
      <c r="J35" s="152"/>
      <c r="K35" s="153"/>
    </row>
    <row r="36" spans="1:11" s="151" customFormat="1" ht="18">
      <c r="A36" s="92" t="s">
        <v>0</v>
      </c>
      <c r="B36" s="114">
        <f>1155.9+27.7+291.6</f>
        <v>1475.2000000000003</v>
      </c>
      <c r="C36" s="115">
        <v>1783</v>
      </c>
      <c r="D36" s="94">
        <f>0.3+11.3+141.7+12.6+0.9+12.9+1.3+0.5+169.4+1.1+0.1+0.4+11.3+166.1+3.8+5.1+2.9+0.2+0.5+11.9+319.9+44.3+12.2+0.9-0.2+8.4+29.5+8.6+0.2+7.6+0.4+4.3+0.1+0.3+7.8+4.8+0.2+5.5+2.5+0.2+2.6+6.1+6.3+1.5+8+80.1+21+1.6+0.4+4.6</f>
        <v>1143.9999999999998</v>
      </c>
      <c r="E36" s="96">
        <f>D36/D33*100</f>
        <v>5.114403483516775</v>
      </c>
      <c r="F36" s="96">
        <f t="shared" si="3"/>
        <v>77.54880694143164</v>
      </c>
      <c r="G36" s="96">
        <f t="shared" si="0"/>
        <v>64.16152551878854</v>
      </c>
      <c r="H36" s="94">
        <f t="shared" si="2"/>
        <v>331.2000000000005</v>
      </c>
      <c r="I36" s="94">
        <f t="shared" si="1"/>
        <v>639.0000000000002</v>
      </c>
      <c r="J36" s="152"/>
      <c r="K36" s="153"/>
    </row>
    <row r="37" spans="1:12" s="85" customFormat="1" ht="18.75">
      <c r="A37" s="105" t="s">
        <v>7</v>
      </c>
      <c r="B37" s="125">
        <f>766.6+2+20.5+7.9</f>
        <v>797</v>
      </c>
      <c r="C37" s="126">
        <v>1008</v>
      </c>
      <c r="D37" s="98">
        <f>44.8+25.1+1.6+0.5+2.7+1+6.3+8.5+2.5+36.6+1.5+4.5+23.6+4.1+106.1+32.6+9.7+2.5+4.3+1.9+2.2+5.9+0.2+124.8+6.7+179.9+41.5+2.4+6.3+14.7+42.8+20.1+5+3.6+3.8+16.6+4.5+25.2+3.8</f>
        <v>830.3999999999999</v>
      </c>
      <c r="E37" s="101">
        <f>D37/D33*100</f>
        <v>3.712413157965324</v>
      </c>
      <c r="F37" s="101">
        <f t="shared" si="3"/>
        <v>104.19071518193223</v>
      </c>
      <c r="G37" s="101">
        <f t="shared" si="0"/>
        <v>82.38095238095237</v>
      </c>
      <c r="H37" s="98">
        <f t="shared" si="2"/>
        <v>-33.399999999999864</v>
      </c>
      <c r="I37" s="98">
        <f t="shared" si="1"/>
        <v>177.60000000000014</v>
      </c>
      <c r="J37" s="147"/>
      <c r="K37" s="153"/>
      <c r="L37" s="127"/>
    </row>
    <row r="38" spans="1:11" s="151" customFormat="1" ht="18">
      <c r="A38" s="92" t="s">
        <v>14</v>
      </c>
      <c r="B38" s="114">
        <f>39.3+45.1</f>
        <v>84.4</v>
      </c>
      <c r="C38" s="115">
        <f>80.8+8.7</f>
        <v>89.5</v>
      </c>
      <c r="D38" s="115">
        <f>5.1+5.1+5.1+5.1+5.1+8.7+5.1+45.1+5.1</f>
        <v>89.5</v>
      </c>
      <c r="E38" s="96">
        <f>D38/D33*100</f>
        <v>0.40012160120170587</v>
      </c>
      <c r="F38" s="96">
        <f t="shared" si="3"/>
        <v>106.042654028436</v>
      </c>
      <c r="G38" s="96">
        <f t="shared" si="0"/>
        <v>100</v>
      </c>
      <c r="H38" s="94">
        <f t="shared" si="2"/>
        <v>-5.099999999999994</v>
      </c>
      <c r="I38" s="94">
        <f t="shared" si="1"/>
        <v>0</v>
      </c>
      <c r="J38" s="152"/>
      <c r="K38" s="153"/>
    </row>
    <row r="39" spans="1:11" s="151" customFormat="1" ht="18.75" thickBot="1">
      <c r="A39" s="92" t="s">
        <v>27</v>
      </c>
      <c r="B39" s="114">
        <f>B33-B34-B36-B37-B35-B38</f>
        <v>8089.6</v>
      </c>
      <c r="C39" s="114">
        <f>C33-C34-C36-C37-C35-C38</f>
        <v>8961.299999999996</v>
      </c>
      <c r="D39" s="114">
        <f>D33-D34-D36-D37-D35-D38</f>
        <v>8289.300000000008</v>
      </c>
      <c r="E39" s="96">
        <f>D39/D33*100</f>
        <v>37.05841328314306</v>
      </c>
      <c r="F39" s="96">
        <f t="shared" si="3"/>
        <v>102.46860166139251</v>
      </c>
      <c r="G39" s="96">
        <f t="shared" si="0"/>
        <v>92.50108801178413</v>
      </c>
      <c r="H39" s="94">
        <f>B39-D39</f>
        <v>-199.700000000008</v>
      </c>
      <c r="I39" s="94">
        <f t="shared" si="1"/>
        <v>671.9999999999873</v>
      </c>
      <c r="J39" s="152"/>
      <c r="K39" s="153"/>
    </row>
    <row r="40" spans="1:11" ht="19.5" hidden="1" thickBot="1">
      <c r="A40" s="70" t="s">
        <v>66</v>
      </c>
      <c r="B40" s="71"/>
      <c r="C40" s="71"/>
      <c r="D40" s="71"/>
      <c r="E40" s="69"/>
      <c r="F40" s="69" t="e">
        <f t="shared" si="3"/>
        <v>#DIV/0!</v>
      </c>
      <c r="G40" s="69" t="e">
        <f t="shared" si="0"/>
        <v>#DIV/0!</v>
      </c>
      <c r="H40" s="73">
        <f>B40-D40</f>
        <v>0</v>
      </c>
      <c r="I40" s="73">
        <f t="shared" si="1"/>
        <v>0</v>
      </c>
      <c r="J40" s="152"/>
      <c r="K40" s="153">
        <f>C40-B40</f>
        <v>0</v>
      </c>
    </row>
    <row r="41" spans="1:11" ht="19.5" hidden="1" thickBot="1">
      <c r="A41" s="70" t="s">
        <v>67</v>
      </c>
      <c r="B41" s="71"/>
      <c r="C41" s="71"/>
      <c r="D41" s="71"/>
      <c r="E41" s="69"/>
      <c r="F41" s="69" t="e">
        <f t="shared" si="3"/>
        <v>#DIV/0!</v>
      </c>
      <c r="G41" s="69" t="e">
        <f t="shared" si="0"/>
        <v>#DIV/0!</v>
      </c>
      <c r="H41" s="73">
        <f>B41-D41</f>
        <v>0</v>
      </c>
      <c r="I41" s="73">
        <f t="shared" si="1"/>
        <v>0</v>
      </c>
      <c r="J41" s="152"/>
      <c r="K41" s="153">
        <f>C41-B41</f>
        <v>0</v>
      </c>
    </row>
    <row r="42" spans="1:11" ht="19.5" hidden="1" thickBot="1">
      <c r="A42" s="70" t="s">
        <v>68</v>
      </c>
      <c r="B42" s="71"/>
      <c r="C42" s="71"/>
      <c r="D42" s="71"/>
      <c r="E42" s="69"/>
      <c r="F42" s="69"/>
      <c r="G42" s="69" t="e">
        <f t="shared" si="0"/>
        <v>#DIV/0!</v>
      </c>
      <c r="H42" s="73">
        <f>B42-D42</f>
        <v>0</v>
      </c>
      <c r="I42" s="73">
        <f t="shared" si="1"/>
        <v>0</v>
      </c>
      <c r="J42" s="152"/>
      <c r="K42" s="153">
        <f>C42-B42</f>
        <v>0</v>
      </c>
    </row>
    <row r="43" spans="1:11" ht="19.5" thickBot="1">
      <c r="A43" s="11" t="s">
        <v>16</v>
      </c>
      <c r="B43" s="72">
        <f>1293.5-2+236</f>
        <v>1527.5</v>
      </c>
      <c r="C43" s="36">
        <f>1126.9+467-659.1</f>
        <v>934.8000000000001</v>
      </c>
      <c r="D43" s="37">
        <f>63.9+1.1+0.6+70.8+0.5+48+6.7+2+13.7+10.4+20.2+0.7+37.4+27+181.7+0.2+2.1+7.5+10+0.2+3.3+24.2+12.6+1.5+22+2.4+8+14.4+3.9+1.2+1.7+0.1+3+13.7+46.4+0.8+12.3+4.5+8.5+7.8+2.1+0.8+3+3</f>
        <v>705.8999999999999</v>
      </c>
      <c r="E43" s="3">
        <f>D43/D154*100</f>
        <v>0.03603278753962827</v>
      </c>
      <c r="F43" s="3">
        <f>D43/B43*100</f>
        <v>46.2127659574468</v>
      </c>
      <c r="G43" s="3">
        <f t="shared" si="0"/>
        <v>75.51347881899869</v>
      </c>
      <c r="H43" s="37">
        <f t="shared" si="2"/>
        <v>821.6000000000001</v>
      </c>
      <c r="I43" s="37">
        <f t="shared" si="1"/>
        <v>228.9000000000002</v>
      </c>
      <c r="J43" s="152"/>
      <c r="K43" s="153"/>
    </row>
    <row r="44" spans="1:11" ht="12" customHeight="1" thickBot="1">
      <c r="A44" s="21"/>
      <c r="B44" s="43"/>
      <c r="C44" s="44"/>
      <c r="D44" s="45"/>
      <c r="E44" s="7"/>
      <c r="F44" s="7"/>
      <c r="G44" s="7"/>
      <c r="H44" s="45"/>
      <c r="I44" s="45"/>
      <c r="J44" s="152"/>
      <c r="K44" s="153"/>
    </row>
    <row r="45" spans="1:11" ht="18.75" thickBot="1">
      <c r="A45" s="18" t="s">
        <v>44</v>
      </c>
      <c r="B45" s="35">
        <f>11184.4+1142.2</f>
        <v>12326.6</v>
      </c>
      <c r="C45" s="36">
        <v>13576.3</v>
      </c>
      <c r="D45" s="37">
        <f>237.1+562.8+52.3+349.2+679.9+375.9+891+78.3+327.4+13.5+670.2+386.5+179.9+781.7-0.1+25.5+366.5+16.5+692.2+3.8+389.3+707.6+15.1+379.9+4.5+611.9+360.8+661.9+337.6+11.6+789.6+30.4+326.3+16.1+743.8+7.3+75+354.5+75.3</f>
        <v>12588.599999999997</v>
      </c>
      <c r="E45" s="3">
        <f>D45/D154*100</f>
        <v>0.642587263382015</v>
      </c>
      <c r="F45" s="3">
        <f>D45/B45*100</f>
        <v>102.12548472409257</v>
      </c>
      <c r="G45" s="3">
        <f aca="true" t="shared" si="5" ref="G45:G76">D45/C45*100</f>
        <v>92.72482193233796</v>
      </c>
      <c r="H45" s="37">
        <f>B45-D45</f>
        <v>-261.99999999999636</v>
      </c>
      <c r="I45" s="37">
        <f aca="true" t="shared" si="6" ref="I45:I77">C45-D45</f>
        <v>987.7000000000025</v>
      </c>
      <c r="J45" s="152"/>
      <c r="K45" s="153"/>
    </row>
    <row r="46" spans="1:11" s="151" customFormat="1" ht="18">
      <c r="A46" s="92" t="s">
        <v>3</v>
      </c>
      <c r="B46" s="114">
        <f>10237.8+1011.8</f>
        <v>11249.599999999999</v>
      </c>
      <c r="C46" s="115">
        <v>12256.4</v>
      </c>
      <c r="D46" s="94">
        <f>237.1+551.8+334.1+652.5+314.7+746.1+319.2+661.7+342.8+781.7+0.2-0.1+366.5+692.2+367.7+697.1+14.1+359.1+599.6+318.9+654.8+315+778.2+5.2+0.1+303.9+728.8+332.2</f>
        <v>11475.2</v>
      </c>
      <c r="E46" s="96">
        <f>D46/D45*100</f>
        <v>91.15548988767618</v>
      </c>
      <c r="F46" s="96">
        <f aca="true" t="shared" si="7" ref="F46:F74">D46/B46*100</f>
        <v>102.00540463660931</v>
      </c>
      <c r="G46" s="96">
        <f t="shared" si="5"/>
        <v>93.62618713488465</v>
      </c>
      <c r="H46" s="94">
        <f aca="true" t="shared" si="8" ref="H46:H74">B46-D46</f>
        <v>-225.60000000000218</v>
      </c>
      <c r="I46" s="94">
        <f t="shared" si="6"/>
        <v>781.1999999999989</v>
      </c>
      <c r="J46" s="152"/>
      <c r="K46" s="153"/>
    </row>
    <row r="47" spans="1:11" s="151" customFormat="1" ht="18">
      <c r="A47" s="92" t="s">
        <v>2</v>
      </c>
      <c r="B47" s="114">
        <f>0.8+0.7</f>
        <v>1.5</v>
      </c>
      <c r="C47" s="115">
        <v>1.5</v>
      </c>
      <c r="D47" s="94">
        <f>0.7+0.7</f>
        <v>1.4</v>
      </c>
      <c r="E47" s="96">
        <f>D47/D45*100</f>
        <v>0.011121173124890776</v>
      </c>
      <c r="F47" s="96">
        <f t="shared" si="7"/>
        <v>93.33333333333333</v>
      </c>
      <c r="G47" s="96">
        <f t="shared" si="5"/>
        <v>93.33333333333333</v>
      </c>
      <c r="H47" s="94">
        <f t="shared" si="8"/>
        <v>0.10000000000000009</v>
      </c>
      <c r="I47" s="94">
        <f t="shared" si="6"/>
        <v>0.10000000000000009</v>
      </c>
      <c r="J47" s="152"/>
      <c r="K47" s="153"/>
    </row>
    <row r="48" spans="1:11" s="151" customFormat="1" ht="18">
      <c r="A48" s="92" t="s">
        <v>1</v>
      </c>
      <c r="B48" s="114">
        <f>68.2+10.5</f>
        <v>78.7</v>
      </c>
      <c r="C48" s="115">
        <v>98.9</v>
      </c>
      <c r="D48" s="94">
        <f>5.7+6.1+6.5+7.7+8.4+7+0.1+8.9+9.6+9</f>
        <v>69</v>
      </c>
      <c r="E48" s="96">
        <f>D48/D45*100</f>
        <v>0.5481149611553312</v>
      </c>
      <c r="F48" s="96">
        <f t="shared" si="7"/>
        <v>87.67471410419313</v>
      </c>
      <c r="G48" s="96">
        <f t="shared" si="5"/>
        <v>69.76744186046511</v>
      </c>
      <c r="H48" s="94">
        <f t="shared" si="8"/>
        <v>9.700000000000003</v>
      </c>
      <c r="I48" s="94">
        <f t="shared" si="6"/>
        <v>29.900000000000006</v>
      </c>
      <c r="J48" s="152"/>
      <c r="K48" s="153"/>
    </row>
    <row r="49" spans="1:11" s="151" customFormat="1" ht="18">
      <c r="A49" s="92" t="s">
        <v>0</v>
      </c>
      <c r="B49" s="114">
        <f>595+89.5</f>
        <v>684.5</v>
      </c>
      <c r="C49" s="115">
        <v>879.8</v>
      </c>
      <c r="D49" s="94">
        <f>7.3+51.9+12.7-0.1+54.5+131.2+49.5+2.4+7.9+11.2+178.3+0.4+4.1+0.1+0.6+1.4+0.5+0.8+4.5+4.5+1+5+1.4+9.1+16+0.1+15.9+3.2+7.3+60.9+72.2</f>
        <v>715.8</v>
      </c>
      <c r="E49" s="96">
        <f>D49/D45*100</f>
        <v>5.68609694485487</v>
      </c>
      <c r="F49" s="96">
        <f t="shared" si="7"/>
        <v>104.57268078889699</v>
      </c>
      <c r="G49" s="96">
        <f t="shared" si="5"/>
        <v>81.35939986360536</v>
      </c>
      <c r="H49" s="94">
        <f t="shared" si="8"/>
        <v>-31.299999999999955</v>
      </c>
      <c r="I49" s="94">
        <f t="shared" si="6"/>
        <v>164</v>
      </c>
      <c r="J49" s="152"/>
      <c r="K49" s="153"/>
    </row>
    <row r="50" spans="1:11" s="151" customFormat="1" ht="18.75" thickBot="1">
      <c r="A50" s="92" t="s">
        <v>27</v>
      </c>
      <c r="B50" s="115">
        <f>B45-B46-B49-B48-B47</f>
        <v>312.30000000000183</v>
      </c>
      <c r="C50" s="115">
        <f>C45-C46-C49-C48-C47</f>
        <v>339.6999999999997</v>
      </c>
      <c r="D50" s="115">
        <f>D45-D46-D49-D48-D47</f>
        <v>327.19999999999607</v>
      </c>
      <c r="E50" s="96">
        <f>D50/D45*100</f>
        <v>2.5991770331887274</v>
      </c>
      <c r="F50" s="96">
        <f t="shared" si="7"/>
        <v>104.77105347422162</v>
      </c>
      <c r="G50" s="96">
        <f t="shared" si="5"/>
        <v>96.32028260229507</v>
      </c>
      <c r="H50" s="94">
        <f t="shared" si="8"/>
        <v>-14.899999999994236</v>
      </c>
      <c r="I50" s="94">
        <f t="shared" si="6"/>
        <v>12.500000000003638</v>
      </c>
      <c r="J50" s="152"/>
      <c r="K50" s="153"/>
    </row>
    <row r="51" spans="1:11" ht="18.75" thickBot="1">
      <c r="A51" s="18" t="s">
        <v>4</v>
      </c>
      <c r="B51" s="35">
        <f>30742.3+124.3+3465</f>
        <v>34331.6</v>
      </c>
      <c r="C51" s="36">
        <f>37135.4+450-426+576.2+259</f>
        <v>37994.6</v>
      </c>
      <c r="D51" s="37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+82.3+1010.5+54.2+157.6+329.1+33.3+64.6+227.9+946.1+6+75.1+1.7+39.2+0.1+53.8+879.3+100+161.1+6+277.7+18.4+1711.2+266.3+9.6+92.6+6.1+1003.8+120.7+406.9+6.6</f>
        <v>31432.799999999992</v>
      </c>
      <c r="E51" s="3">
        <f>D51/D154*100</f>
        <v>1.604492710264382</v>
      </c>
      <c r="F51" s="3">
        <f>D51/B51*100</f>
        <v>91.55646692842744</v>
      </c>
      <c r="G51" s="3">
        <f t="shared" si="5"/>
        <v>82.72965105567631</v>
      </c>
      <c r="H51" s="37">
        <f>B51-D51</f>
        <v>2898.8000000000065</v>
      </c>
      <c r="I51" s="37">
        <f t="shared" si="6"/>
        <v>6561.800000000007</v>
      </c>
      <c r="J51" s="152"/>
      <c r="K51" s="153"/>
    </row>
    <row r="52" spans="1:11" s="151" customFormat="1" ht="18">
      <c r="A52" s="92" t="s">
        <v>3</v>
      </c>
      <c r="B52" s="114">
        <f>16585.9+1913.6</f>
        <v>18499.5</v>
      </c>
      <c r="C52" s="115">
        <f>20097.4+92.2</f>
        <v>20189.600000000002</v>
      </c>
      <c r="D52" s="94">
        <f>632.9+34.3+767.3+737.6+710.6+649.6+792.4+1.6+643.1+825.6+650.1+947+1196.1+785.4+658.1+439+623.6+358.8+550.5+716.3+1140.3+694.7+845.6+818.5+1013.9+10.9+757.9</f>
        <v>18001.700000000004</v>
      </c>
      <c r="E52" s="96">
        <f>D52/D51*100</f>
        <v>57.270430887480615</v>
      </c>
      <c r="F52" s="96">
        <f t="shared" si="7"/>
        <v>97.30911646260712</v>
      </c>
      <c r="G52" s="96">
        <f t="shared" si="5"/>
        <v>89.16323255537506</v>
      </c>
      <c r="H52" s="94">
        <f t="shared" si="8"/>
        <v>497.79999999999563</v>
      </c>
      <c r="I52" s="94">
        <f t="shared" si="6"/>
        <v>2187.899999999998</v>
      </c>
      <c r="J52" s="152"/>
      <c r="K52" s="153"/>
    </row>
    <row r="53" spans="1:11" s="151" customFormat="1" ht="18">
      <c r="A53" s="92" t="s">
        <v>2</v>
      </c>
      <c r="B53" s="114">
        <v>15.3</v>
      </c>
      <c r="C53" s="115">
        <f>13.9+1.38435</f>
        <v>15.28435</v>
      </c>
      <c r="D53" s="94">
        <f>1+1.7+1.2+5.3+1.4+2.3+1.7</f>
        <v>14.599999999999998</v>
      </c>
      <c r="E53" s="96">
        <f>D53/D51*100</f>
        <v>0.04644829604744089</v>
      </c>
      <c r="F53" s="96">
        <f>D53/B53*100</f>
        <v>95.42483660130718</v>
      </c>
      <c r="G53" s="96">
        <f t="shared" si="5"/>
        <v>95.52254430185123</v>
      </c>
      <c r="H53" s="94">
        <f t="shared" si="8"/>
        <v>0.7000000000000028</v>
      </c>
      <c r="I53" s="94">
        <f t="shared" si="6"/>
        <v>0.684350000000002</v>
      </c>
      <c r="J53" s="152"/>
      <c r="K53" s="153"/>
    </row>
    <row r="54" spans="1:11" s="151" customFormat="1" ht="18">
      <c r="A54" s="92" t="s">
        <v>1</v>
      </c>
      <c r="B54" s="114">
        <f>869.1+155.2</f>
        <v>1024.3</v>
      </c>
      <c r="C54" s="115">
        <f>993.6+100-3.8+25</f>
        <v>1114.8</v>
      </c>
      <c r="D54" s="94">
        <f>0.2+4.2+9+4.7+9.6+6.3+43.2+2.7+18.4+3.8+23.8+5.3+12.2+43.2+26.7+3.8+22.4+0.4+59.7+30.3+3.3+19.2+7+2.9+21+4.4-0.4+4.8+2.2+3.6+32.5+6.4+7.8+23.5+0.7+4.2+10.2+2.2+1.8+2+15.6+1.8+2.2+4.1+5.9+16.2+64.8+35.5+24.1+15+22.2+8.7+11.7+6.3+2.8+26.7+2.5+28.1+19.5+17.9+41.9+34.1+12.6+12.8</f>
        <v>922.2</v>
      </c>
      <c r="E54" s="96">
        <f>D54/D51*100</f>
        <v>2.9338779873253427</v>
      </c>
      <c r="F54" s="96">
        <f t="shared" si="7"/>
        <v>90.0322171238895</v>
      </c>
      <c r="G54" s="96">
        <f t="shared" si="5"/>
        <v>82.72335844994618</v>
      </c>
      <c r="H54" s="94">
        <f t="shared" si="8"/>
        <v>102.09999999999991</v>
      </c>
      <c r="I54" s="94">
        <f t="shared" si="6"/>
        <v>192.5999999999999</v>
      </c>
      <c r="J54" s="152"/>
      <c r="K54" s="153"/>
    </row>
    <row r="55" spans="1:11" s="151" customFormat="1" ht="18">
      <c r="A55" s="92" t="s">
        <v>0</v>
      </c>
      <c r="B55" s="114">
        <f>824+106.3+185.9</f>
        <v>1116.2</v>
      </c>
      <c r="C55" s="115">
        <v>1219.9</v>
      </c>
      <c r="D55" s="94">
        <f>0.5+1+2.8+12.3+8.3+0.5+0.4+8.7+15+0.3+1.3+64.9+33.6+8.1+0.1+94.7+0.3+9.8+7.8+0.9+1.8+16.2+18.3+3.3+0.1+11.4+0.1+11.4+1.3+76.9+6.2+11.6+2.1+2.4+24+0.1+0.5+16.3+2.5+1.1+3.8+2.1+10.3+5.8+0.4+0.3+0.3+9.3+0.2+0.6+1.1-0.2+0.5+0.1+1+9.6+1.7+0.2+0.8+20+0.5+1.3+11.9+2.6+1+1.6+10.3+1.3+3-0.1+2.8+40.5+4.9+15+1.2+9.9+17+9.5+22.2</f>
        <v>703.2</v>
      </c>
      <c r="E55" s="96">
        <f>D55/D51*100</f>
        <v>2.237153546613729</v>
      </c>
      <c r="F55" s="96">
        <f t="shared" si="7"/>
        <v>62.99946246192438</v>
      </c>
      <c r="G55" s="96">
        <f t="shared" si="5"/>
        <v>57.644069185998845</v>
      </c>
      <c r="H55" s="94">
        <f t="shared" si="8"/>
        <v>413</v>
      </c>
      <c r="I55" s="94">
        <f t="shared" si="6"/>
        <v>516.7</v>
      </c>
      <c r="J55" s="152"/>
      <c r="K55" s="153"/>
    </row>
    <row r="56" spans="1:11" s="151" customFormat="1" ht="18">
      <c r="A56" s="92" t="s">
        <v>14</v>
      </c>
      <c r="B56" s="114">
        <f>1100+110</f>
        <v>1210</v>
      </c>
      <c r="C56" s="115">
        <v>1320</v>
      </c>
      <c r="D56" s="115">
        <f>110+110+110+110+110+110+110+110+110+106+106+106</f>
        <v>1308</v>
      </c>
      <c r="E56" s="96">
        <f>D56/D51*100</f>
        <v>4.161258303428267</v>
      </c>
      <c r="F56" s="96">
        <f>D56/B56*100</f>
        <v>108.09917355371901</v>
      </c>
      <c r="G56" s="96">
        <f>D56/C56*100</f>
        <v>99.0909090909091</v>
      </c>
      <c r="H56" s="94">
        <f t="shared" si="8"/>
        <v>-98</v>
      </c>
      <c r="I56" s="94">
        <f t="shared" si="6"/>
        <v>12</v>
      </c>
      <c r="J56" s="152"/>
      <c r="K56" s="153"/>
    </row>
    <row r="57" spans="1:11" s="151" customFormat="1" ht="18.75" thickBot="1">
      <c r="A57" s="92" t="s">
        <v>27</v>
      </c>
      <c r="B57" s="115">
        <f>B51-B52-B55-B54-B53-B56</f>
        <v>12466.3</v>
      </c>
      <c r="C57" s="115">
        <f>C51-C52-C55-C54-C53-C56</f>
        <v>14135.015649999996</v>
      </c>
      <c r="D57" s="115">
        <f>D51-D52-D55-D54-D53-D56</f>
        <v>10483.099999999986</v>
      </c>
      <c r="E57" s="96">
        <f>D57/D51*100</f>
        <v>33.35083097910459</v>
      </c>
      <c r="F57" s="96">
        <f t="shared" si="7"/>
        <v>84.09151071288183</v>
      </c>
      <c r="G57" s="96">
        <f t="shared" si="5"/>
        <v>74.16404947524758</v>
      </c>
      <c r="H57" s="94">
        <f>B57-D57</f>
        <v>1983.2000000000135</v>
      </c>
      <c r="I57" s="94">
        <f>C57-D57</f>
        <v>3651.91565000001</v>
      </c>
      <c r="J57" s="152"/>
      <c r="K57" s="153"/>
    </row>
    <row r="58" spans="1:11" s="29" customFormat="1" ht="19.5" hidden="1" thickBot="1">
      <c r="A58" s="70" t="s">
        <v>65</v>
      </c>
      <c r="B58" s="68"/>
      <c r="C58" s="68"/>
      <c r="D58" s="68"/>
      <c r="E58" s="1"/>
      <c r="F58" s="69" t="e">
        <f t="shared" si="7"/>
        <v>#DIV/0!</v>
      </c>
      <c r="G58" s="69" t="e">
        <f t="shared" si="5"/>
        <v>#DIV/0!</v>
      </c>
      <c r="H58" s="73">
        <f t="shared" si="8"/>
        <v>0</v>
      </c>
      <c r="I58" s="73">
        <f>C58-D58</f>
        <v>0</v>
      </c>
      <c r="J58" s="147"/>
      <c r="K58" s="153">
        <f>C58-B58</f>
        <v>0</v>
      </c>
    </row>
    <row r="59" spans="1:11" ht="18.75" thickBot="1">
      <c r="A59" s="18" t="s">
        <v>6</v>
      </c>
      <c r="B59" s="35">
        <f>8862+38.1+215.4+128.8</f>
        <v>9244.3</v>
      </c>
      <c r="C59" s="36">
        <f>9264.2+300+32.4-679</f>
        <v>8917.6</v>
      </c>
      <c r="D59" s="37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+75.5+0.4+16.3+173.3+0.3+85.2+0.9+25.9+83.4+72.9+4.4+44.4+134.8</f>
        <v>7851.099999999999</v>
      </c>
      <c r="E59" s="3">
        <f>D59/D154*100</f>
        <v>0.40076075683861107</v>
      </c>
      <c r="F59" s="3">
        <f>D59/B59*100</f>
        <v>84.92909144013068</v>
      </c>
      <c r="G59" s="3">
        <f t="shared" si="5"/>
        <v>88.04050417152595</v>
      </c>
      <c r="H59" s="37">
        <f>B59-D59</f>
        <v>1393.1999999999998</v>
      </c>
      <c r="I59" s="37">
        <f t="shared" si="6"/>
        <v>1066.500000000001</v>
      </c>
      <c r="J59" s="152"/>
      <c r="K59" s="153"/>
    </row>
    <row r="60" spans="1:11" s="151" customFormat="1" ht="18">
      <c r="A60" s="92" t="s">
        <v>3</v>
      </c>
      <c r="B60" s="114">
        <f>2608.2+133+120.9</f>
        <v>2862.1</v>
      </c>
      <c r="C60" s="115">
        <f>3119.7+14</f>
        <v>3133.7</v>
      </c>
      <c r="D60" s="94">
        <f>77.7+79.1+76.9+40.5+47.3+155.9+45+29.2+85.8+95.3+38.3+30.7+89.8+79.1+80.7+178.9+50.9+35.4+119.2+73+83.9+167.9+42.3+43+65+68.5+34.6+47.8+164.9+73.8+172.5+81.2+83.4+72.9+4.4+33.5+42.9</f>
        <v>2791.2000000000007</v>
      </c>
      <c r="E60" s="96">
        <f>D60/D59*100</f>
        <v>35.55170613035117</v>
      </c>
      <c r="F60" s="96">
        <f t="shared" si="7"/>
        <v>97.52279794556448</v>
      </c>
      <c r="G60" s="96">
        <f t="shared" si="5"/>
        <v>89.07042792864668</v>
      </c>
      <c r="H60" s="94">
        <f t="shared" si="8"/>
        <v>70.89999999999918</v>
      </c>
      <c r="I60" s="94">
        <f t="shared" si="6"/>
        <v>342.4999999999991</v>
      </c>
      <c r="J60" s="152"/>
      <c r="K60" s="153"/>
    </row>
    <row r="61" spans="1:11" s="151" customFormat="1" ht="18">
      <c r="A61" s="92" t="s">
        <v>1</v>
      </c>
      <c r="B61" s="114">
        <v>393.1</v>
      </c>
      <c r="C61" s="115">
        <f>360.7+32.4</f>
        <v>393.09999999999997</v>
      </c>
      <c r="D61" s="94">
        <f>127+93.7+101.3+69.1</f>
        <v>391.1</v>
      </c>
      <c r="E61" s="96">
        <f>D61/D59*100</f>
        <v>4.9814675650545786</v>
      </c>
      <c r="F61" s="96">
        <f>D61/B61*100</f>
        <v>99.49122360722463</v>
      </c>
      <c r="G61" s="96">
        <f t="shared" si="5"/>
        <v>99.49122360722464</v>
      </c>
      <c r="H61" s="94">
        <f t="shared" si="8"/>
        <v>2</v>
      </c>
      <c r="I61" s="94">
        <f t="shared" si="6"/>
        <v>1.9999999999999432</v>
      </c>
      <c r="J61" s="152"/>
      <c r="K61" s="153"/>
    </row>
    <row r="62" spans="1:11" s="151" customFormat="1" ht="18">
      <c r="A62" s="92" t="s">
        <v>0</v>
      </c>
      <c r="B62" s="114">
        <f>253.5+38.1+58.4+5.8</f>
        <v>355.8</v>
      </c>
      <c r="C62" s="115">
        <f>393.7-14</f>
        <v>379.7</v>
      </c>
      <c r="D62" s="94">
        <f>10.9+43.2+13-3+39.2+5.7+50.2+3.5+0.2+29.7+2.5+1.8+22+0.1+0.7+2.1+0.1+0.1+2.2+0.1+0.1+2.1+1.2+0.5+0.1+0.6+16.3+0.1+1.9+0.2+25.9+8+82.4</f>
        <v>363.69999999999993</v>
      </c>
      <c r="E62" s="96">
        <f>D62/D59*100</f>
        <v>4.632471882920864</v>
      </c>
      <c r="F62" s="96">
        <f t="shared" si="7"/>
        <v>102.22034851039908</v>
      </c>
      <c r="G62" s="96">
        <f t="shared" si="5"/>
        <v>95.78614695812482</v>
      </c>
      <c r="H62" s="94">
        <f t="shared" si="8"/>
        <v>-7.89999999999992</v>
      </c>
      <c r="I62" s="94">
        <f t="shared" si="6"/>
        <v>16.000000000000057</v>
      </c>
      <c r="J62" s="152"/>
      <c r="K62" s="153"/>
    </row>
    <row r="63" spans="1:11" s="151" customFormat="1" ht="18">
      <c r="A63" s="92" t="s">
        <v>14</v>
      </c>
      <c r="B63" s="114">
        <v>4866.6</v>
      </c>
      <c r="C63" s="115">
        <f>4866.6-679</f>
        <v>4187.6</v>
      </c>
      <c r="D63" s="94">
        <f>136+283.5+578.4+584+1151+850.5</f>
        <v>3583.4</v>
      </c>
      <c r="E63" s="96">
        <f>D63/D59*100</f>
        <v>45.642011947370435</v>
      </c>
      <c r="F63" s="96">
        <f t="shared" si="7"/>
        <v>73.63251551391114</v>
      </c>
      <c r="G63" s="96">
        <f t="shared" si="5"/>
        <v>85.57168784029038</v>
      </c>
      <c r="H63" s="94">
        <f t="shared" si="8"/>
        <v>1283.2000000000003</v>
      </c>
      <c r="I63" s="94">
        <f t="shared" si="6"/>
        <v>604.2000000000003</v>
      </c>
      <c r="J63" s="152"/>
      <c r="K63" s="153"/>
    </row>
    <row r="64" spans="1:11" s="151" customFormat="1" ht="18.75" thickBot="1">
      <c r="A64" s="92" t="s">
        <v>27</v>
      </c>
      <c r="B64" s="115">
        <f>B59-B60-B62-B63-B61</f>
        <v>766.6999999999983</v>
      </c>
      <c r="C64" s="115">
        <f>C59-C60-C62-C63-C61</f>
        <v>823.5000000000005</v>
      </c>
      <c r="D64" s="115">
        <f>D59-D60-D62-D63-D61</f>
        <v>721.6999999999988</v>
      </c>
      <c r="E64" s="96">
        <f>D64/D59*100</f>
        <v>9.192342474302949</v>
      </c>
      <c r="F64" s="96">
        <f t="shared" si="7"/>
        <v>94.13068997000134</v>
      </c>
      <c r="G64" s="96">
        <f t="shared" si="5"/>
        <v>87.6381299332117</v>
      </c>
      <c r="H64" s="94">
        <f t="shared" si="8"/>
        <v>44.999999999999545</v>
      </c>
      <c r="I64" s="94">
        <f t="shared" si="6"/>
        <v>101.80000000000166</v>
      </c>
      <c r="J64" s="152"/>
      <c r="K64" s="153"/>
    </row>
    <row r="65" spans="1:11" s="29" customFormat="1" ht="19.5" hidden="1" thickBot="1">
      <c r="A65" s="70" t="s">
        <v>76</v>
      </c>
      <c r="B65" s="68"/>
      <c r="C65" s="68"/>
      <c r="D65" s="68"/>
      <c r="E65" s="69"/>
      <c r="F65" s="69" t="e">
        <f>D65/B65*100</f>
        <v>#DIV/0!</v>
      </c>
      <c r="G65" s="69" t="e">
        <f>D65/C65*100</f>
        <v>#DIV/0!</v>
      </c>
      <c r="H65" s="73">
        <f t="shared" si="8"/>
        <v>0</v>
      </c>
      <c r="I65" s="73">
        <f t="shared" si="6"/>
        <v>0</v>
      </c>
      <c r="J65" s="147"/>
      <c r="K65" s="153">
        <f>C65-B65</f>
        <v>0</v>
      </c>
    </row>
    <row r="66" spans="1:11" s="29" customFormat="1" ht="19.5" hidden="1" thickBot="1">
      <c r="A66" s="70" t="s">
        <v>62</v>
      </c>
      <c r="B66" s="68"/>
      <c r="C66" s="68"/>
      <c r="D66" s="68"/>
      <c r="E66" s="69"/>
      <c r="F66" s="69" t="e">
        <f t="shared" si="7"/>
        <v>#DIV/0!</v>
      </c>
      <c r="G66" s="69" t="e">
        <f t="shared" si="5"/>
        <v>#DIV/0!</v>
      </c>
      <c r="H66" s="73">
        <f t="shared" si="8"/>
        <v>0</v>
      </c>
      <c r="I66" s="73">
        <f t="shared" si="6"/>
        <v>0</v>
      </c>
      <c r="J66" s="147"/>
      <c r="K66" s="153">
        <f>C66-B66</f>
        <v>0</v>
      </c>
    </row>
    <row r="67" spans="1:11" s="29" customFormat="1" ht="19.5" hidden="1" thickBot="1">
      <c r="A67" s="70" t="s">
        <v>63</v>
      </c>
      <c r="B67" s="68"/>
      <c r="C67" s="68"/>
      <c r="D67" s="68"/>
      <c r="E67" s="69"/>
      <c r="F67" s="69" t="e">
        <f t="shared" si="7"/>
        <v>#DIV/0!</v>
      </c>
      <c r="G67" s="69" t="e">
        <f t="shared" si="5"/>
        <v>#DIV/0!</v>
      </c>
      <c r="H67" s="73">
        <f t="shared" si="8"/>
        <v>0</v>
      </c>
      <c r="I67" s="73">
        <f t="shared" si="6"/>
        <v>0</v>
      </c>
      <c r="J67" s="147"/>
      <c r="K67" s="153">
        <f>C67-B67</f>
        <v>0</v>
      </c>
    </row>
    <row r="68" spans="1:11" s="29" customFormat="1" ht="19.5" hidden="1" thickBot="1">
      <c r="A68" s="70" t="s">
        <v>64</v>
      </c>
      <c r="B68" s="68"/>
      <c r="C68" s="68"/>
      <c r="D68" s="68"/>
      <c r="E68" s="69"/>
      <c r="F68" s="69" t="e">
        <f t="shared" si="7"/>
        <v>#DIV/0!</v>
      </c>
      <c r="G68" s="69" t="e">
        <f t="shared" si="5"/>
        <v>#DIV/0!</v>
      </c>
      <c r="H68" s="73">
        <f t="shared" si="8"/>
        <v>0</v>
      </c>
      <c r="I68" s="73">
        <f t="shared" si="6"/>
        <v>0</v>
      </c>
      <c r="J68" s="147"/>
      <c r="K68" s="153">
        <f>C68-B68</f>
        <v>0</v>
      </c>
    </row>
    <row r="69" spans="1:11" ht="18.75" thickBot="1">
      <c r="A69" s="18" t="s">
        <v>20</v>
      </c>
      <c r="B69" s="36">
        <f>B70+B71</f>
        <v>417.363</v>
      </c>
      <c r="C69" s="36">
        <f>C70+C71</f>
        <v>368.6</v>
      </c>
      <c r="D69" s="37">
        <f>D70+D71</f>
        <v>227</v>
      </c>
      <c r="E69" s="27">
        <f>D69/D154*100</f>
        <v>0.011587254244929335</v>
      </c>
      <c r="F69" s="3">
        <f>D69/B69*100</f>
        <v>54.38910492784459</v>
      </c>
      <c r="G69" s="3">
        <f t="shared" si="5"/>
        <v>61.584373304395</v>
      </c>
      <c r="H69" s="37">
        <f>B69-D69</f>
        <v>190.363</v>
      </c>
      <c r="I69" s="37">
        <f t="shared" si="6"/>
        <v>141.60000000000002</v>
      </c>
      <c r="J69" s="152"/>
      <c r="K69" s="153"/>
    </row>
    <row r="70" spans="1:11" s="151" customFormat="1" ht="18">
      <c r="A70" s="92" t="s">
        <v>8</v>
      </c>
      <c r="B70" s="114">
        <v>226.963</v>
      </c>
      <c r="C70" s="115">
        <f>292.7-53.1-12</f>
        <v>227.6</v>
      </c>
      <c r="D70" s="94">
        <f>169.5+50+6+1.5</f>
        <v>227</v>
      </c>
      <c r="E70" s="96">
        <f>D70/D69*100</f>
        <v>100</v>
      </c>
      <c r="F70" s="96">
        <f t="shared" si="7"/>
        <v>100.01630221666088</v>
      </c>
      <c r="G70" s="96">
        <f t="shared" si="5"/>
        <v>99.73637961335677</v>
      </c>
      <c r="H70" s="94">
        <f t="shared" si="8"/>
        <v>-0.03700000000000614</v>
      </c>
      <c r="I70" s="94">
        <f t="shared" si="6"/>
        <v>0.5999999999999943</v>
      </c>
      <c r="J70" s="152"/>
      <c r="K70" s="153"/>
    </row>
    <row r="71" spans="1:11" s="151" customFormat="1" ht="18.75" thickBot="1">
      <c r="A71" s="92" t="s">
        <v>9</v>
      </c>
      <c r="B71" s="114">
        <f>167.3+23.1</f>
        <v>190.4</v>
      </c>
      <c r="C71" s="115">
        <f>293.1-30-14-37.9+0.1-20.9-49.4</f>
        <v>141</v>
      </c>
      <c r="D71" s="94">
        <v>0</v>
      </c>
      <c r="E71" s="96">
        <f>D71/D70*100</f>
        <v>0</v>
      </c>
      <c r="F71" s="96">
        <f t="shared" si="7"/>
        <v>0</v>
      </c>
      <c r="G71" s="96">
        <f t="shared" si="5"/>
        <v>0</v>
      </c>
      <c r="H71" s="94">
        <f t="shared" si="8"/>
        <v>190.4</v>
      </c>
      <c r="I71" s="94">
        <f t="shared" si="6"/>
        <v>141</v>
      </c>
      <c r="J71" s="152"/>
      <c r="K71" s="153"/>
    </row>
    <row r="72" spans="1:11" ht="38.25" hidden="1" thickBot="1">
      <c r="A72" s="11" t="s">
        <v>41</v>
      </c>
      <c r="B72" s="42"/>
      <c r="C72" s="36">
        <f>C73+C74+C75+C76</f>
        <v>0</v>
      </c>
      <c r="D72" s="36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7">
        <f>B72-D72</f>
        <v>0</v>
      </c>
      <c r="I72" s="37">
        <f t="shared" si="6"/>
        <v>0</v>
      </c>
      <c r="J72" s="152"/>
      <c r="K72" s="153"/>
    </row>
    <row r="73" spans="1:11" ht="18.75" hidden="1">
      <c r="A73" s="15" t="s">
        <v>45</v>
      </c>
      <c r="B73" s="40"/>
      <c r="C73" s="46"/>
      <c r="D73" s="38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4">
        <f t="shared" si="8"/>
        <v>0</v>
      </c>
      <c r="I73" s="34">
        <f t="shared" si="6"/>
        <v>0</v>
      </c>
      <c r="J73" s="152"/>
      <c r="K73" s="153"/>
    </row>
    <row r="74" spans="1:11" ht="18.75" hidden="1">
      <c r="A74" s="15" t="s">
        <v>46</v>
      </c>
      <c r="B74" s="40"/>
      <c r="C74" s="46"/>
      <c r="D74" s="38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4">
        <f t="shared" si="8"/>
        <v>0</v>
      </c>
      <c r="I74" s="34">
        <f t="shared" si="6"/>
        <v>0</v>
      </c>
      <c r="J74" s="152"/>
      <c r="K74" s="153"/>
    </row>
    <row r="75" spans="1:11" ht="18.75" hidden="1">
      <c r="A75" s="20" t="s">
        <v>34</v>
      </c>
      <c r="B75" s="47"/>
      <c r="C75" s="48"/>
      <c r="D75" s="49"/>
      <c r="E75" s="24" t="e">
        <f>D75/D72*100</f>
        <v>#DIV/0!</v>
      </c>
      <c r="F75" s="24"/>
      <c r="G75" s="1" t="e">
        <f t="shared" si="5"/>
        <v>#DIV/0!</v>
      </c>
      <c r="H75" s="34"/>
      <c r="I75" s="34">
        <f t="shared" si="6"/>
        <v>0</v>
      </c>
      <c r="J75" s="152"/>
      <c r="K75" s="153"/>
    </row>
    <row r="76" spans="1:11" ht="19.5" hidden="1" thickBot="1">
      <c r="A76" s="20" t="s">
        <v>42</v>
      </c>
      <c r="B76" s="47"/>
      <c r="C76" s="48"/>
      <c r="D76" s="49"/>
      <c r="E76" s="24" t="e">
        <f>D76/D72*100</f>
        <v>#DIV/0!</v>
      </c>
      <c r="F76" s="24"/>
      <c r="G76" s="1" t="e">
        <f t="shared" si="5"/>
        <v>#DIV/0!</v>
      </c>
      <c r="H76" s="34"/>
      <c r="I76" s="34">
        <f t="shared" si="6"/>
        <v>0</v>
      </c>
      <c r="J76" s="152"/>
      <c r="K76" s="153"/>
    </row>
    <row r="77" spans="1:11" s="29" customFormat="1" ht="19.5" thickBot="1">
      <c r="A77" s="21" t="s">
        <v>13</v>
      </c>
      <c r="B77" s="43">
        <f>1126.7+616.7</f>
        <v>1743.4</v>
      </c>
      <c r="C77" s="50">
        <f>17000-13500-1000</f>
        <v>2500</v>
      </c>
      <c r="D77" s="51"/>
      <c r="E77" s="31"/>
      <c r="F77" s="31"/>
      <c r="G77" s="31"/>
      <c r="H77" s="51">
        <f>B77-D77</f>
        <v>1743.4</v>
      </c>
      <c r="I77" s="51">
        <f t="shared" si="6"/>
        <v>2500</v>
      </c>
      <c r="J77" s="147"/>
      <c r="K77" s="153"/>
    </row>
    <row r="78" spans="1:11" ht="8.25" customHeight="1" thickBot="1">
      <c r="A78" s="15"/>
      <c r="B78" s="40"/>
      <c r="C78" s="48"/>
      <c r="D78" s="49"/>
      <c r="E78" s="6"/>
      <c r="F78" s="6"/>
      <c r="G78" s="6"/>
      <c r="H78" s="49"/>
      <c r="I78" s="154"/>
      <c r="J78" s="152"/>
      <c r="K78" s="153"/>
    </row>
    <row r="79" spans="1:11" ht="18.75" customHeight="1" hidden="1" thickBot="1">
      <c r="A79" s="11" t="s">
        <v>56</v>
      </c>
      <c r="B79" s="42"/>
      <c r="C79" s="36"/>
      <c r="D79" s="36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7">
        <f>B79-D79</f>
        <v>0</v>
      </c>
      <c r="I79" s="37">
        <f aca="true" t="shared" si="10" ref="I79:I93">C79-D79</f>
        <v>0</v>
      </c>
      <c r="J79" s="152"/>
      <c r="K79" s="153"/>
    </row>
    <row r="80" spans="1:11" s="8" customFormat="1" ht="18" hidden="1">
      <c r="A80" s="9" t="s">
        <v>55</v>
      </c>
      <c r="B80" s="52"/>
      <c r="C80" s="33"/>
      <c r="D80" s="34"/>
      <c r="E80" s="67"/>
      <c r="F80" s="1" t="e">
        <f>D80/B80*100</f>
        <v>#DIV/0!</v>
      </c>
      <c r="G80" s="1" t="e">
        <f t="shared" si="9"/>
        <v>#DIV/0!</v>
      </c>
      <c r="H80" s="34">
        <f>B80-D80</f>
        <v>0</v>
      </c>
      <c r="I80" s="34">
        <f t="shared" si="10"/>
        <v>0</v>
      </c>
      <c r="J80" s="148"/>
      <c r="K80" s="153"/>
    </row>
    <row r="81" spans="1:11" s="8" customFormat="1" ht="30.75" hidden="1">
      <c r="A81" s="9" t="s">
        <v>53</v>
      </c>
      <c r="B81" s="52"/>
      <c r="C81" s="33"/>
      <c r="D81" s="34"/>
      <c r="E81" s="67"/>
      <c r="F81" s="1" t="e">
        <f>D81/B81*100</f>
        <v>#DIV/0!</v>
      </c>
      <c r="G81" s="1" t="e">
        <f t="shared" si="9"/>
        <v>#DIV/0!</v>
      </c>
      <c r="H81" s="34">
        <f>B81-D81</f>
        <v>0</v>
      </c>
      <c r="I81" s="34">
        <f t="shared" si="10"/>
        <v>0</v>
      </c>
      <c r="J81" s="148"/>
      <c r="K81" s="153"/>
    </row>
    <row r="82" spans="1:11" s="8" customFormat="1" ht="16.5" customHeight="1" hidden="1">
      <c r="A82" s="9" t="s">
        <v>33</v>
      </c>
      <c r="B82" s="52"/>
      <c r="C82" s="33"/>
      <c r="D82" s="34"/>
      <c r="E82" s="1" t="e">
        <f>D82/D79*100</f>
        <v>#DIV/0!</v>
      </c>
      <c r="F82" s="1"/>
      <c r="G82" s="1" t="e">
        <f t="shared" si="9"/>
        <v>#DIV/0!</v>
      </c>
      <c r="H82" s="34"/>
      <c r="I82" s="34">
        <f t="shared" si="10"/>
        <v>0</v>
      </c>
      <c r="J82" s="148"/>
      <c r="K82" s="153"/>
    </row>
    <row r="83" spans="1:11" s="8" customFormat="1" ht="33" customHeight="1" hidden="1" thickBot="1">
      <c r="A83" s="9" t="s">
        <v>39</v>
      </c>
      <c r="B83" s="52"/>
      <c r="C83" s="33"/>
      <c r="D83" s="33"/>
      <c r="E83" s="1" t="e">
        <f>D83/D79*100</f>
        <v>#DIV/0!</v>
      </c>
      <c r="F83" s="1"/>
      <c r="G83" s="1" t="e">
        <f t="shared" si="9"/>
        <v>#DIV/0!</v>
      </c>
      <c r="H83" s="34"/>
      <c r="I83" s="34">
        <f t="shared" si="10"/>
        <v>0</v>
      </c>
      <c r="J83" s="148"/>
      <c r="K83" s="153"/>
    </row>
    <row r="84" spans="1:11" ht="35.25" customHeight="1" hidden="1" thickBot="1">
      <c r="A84" s="11" t="s">
        <v>35</v>
      </c>
      <c r="B84" s="42"/>
      <c r="C84" s="36"/>
      <c r="D84" s="36"/>
      <c r="E84" s="3">
        <f>D84/D154*100</f>
        <v>0</v>
      </c>
      <c r="F84" s="3"/>
      <c r="G84" s="3" t="e">
        <f t="shared" si="9"/>
        <v>#DIV/0!</v>
      </c>
      <c r="H84" s="37"/>
      <c r="I84" s="37">
        <f t="shared" si="10"/>
        <v>0</v>
      </c>
      <c r="J84" s="152"/>
      <c r="K84" s="153"/>
    </row>
    <row r="85" spans="1:11" ht="16.5" customHeight="1" hidden="1">
      <c r="A85" s="19" t="s">
        <v>23</v>
      </c>
      <c r="B85" s="32"/>
      <c r="C85" s="48"/>
      <c r="D85" s="48"/>
      <c r="E85" s="6" t="e">
        <f>D85/D84*100</f>
        <v>#DIV/0!</v>
      </c>
      <c r="F85" s="6"/>
      <c r="G85" s="6" t="e">
        <f t="shared" si="9"/>
        <v>#DIV/0!</v>
      </c>
      <c r="H85" s="49"/>
      <c r="I85" s="34">
        <f t="shared" si="10"/>
        <v>0</v>
      </c>
      <c r="J85" s="152"/>
      <c r="K85" s="153"/>
    </row>
    <row r="86" spans="1:11" ht="16.5" customHeight="1" hidden="1" thickBot="1">
      <c r="A86" s="19" t="s">
        <v>24</v>
      </c>
      <c r="B86" s="32"/>
      <c r="C86" s="48"/>
      <c r="D86" s="48"/>
      <c r="E86" s="6" t="e">
        <f>D86/D84*100</f>
        <v>#DIV/0!</v>
      </c>
      <c r="F86" s="6"/>
      <c r="G86" s="6" t="e">
        <f t="shared" si="9"/>
        <v>#DIV/0!</v>
      </c>
      <c r="H86" s="49"/>
      <c r="I86" s="34">
        <f t="shared" si="10"/>
        <v>0</v>
      </c>
      <c r="J86" s="152"/>
      <c r="K86" s="153"/>
    </row>
    <row r="87" spans="1:11" ht="34.5" customHeight="1" hidden="1" thickBot="1">
      <c r="A87" s="11" t="s">
        <v>36</v>
      </c>
      <c r="B87" s="42"/>
      <c r="C87" s="36"/>
      <c r="D87" s="36"/>
      <c r="E87" s="3">
        <f>D87/D154*100</f>
        <v>0</v>
      </c>
      <c r="F87" s="3"/>
      <c r="G87" s="3" t="e">
        <f t="shared" si="9"/>
        <v>#DIV/0!</v>
      </c>
      <c r="H87" s="37"/>
      <c r="I87" s="37">
        <f t="shared" si="10"/>
        <v>0</v>
      </c>
      <c r="J87" s="152"/>
      <c r="K87" s="153"/>
    </row>
    <row r="88" spans="1:11" ht="17.25" customHeight="1" hidden="1">
      <c r="A88" s="19" t="s">
        <v>23</v>
      </c>
      <c r="B88" s="32"/>
      <c r="C88" s="33"/>
      <c r="D88" s="34"/>
      <c r="E88" s="1" t="e">
        <f>D88/D87*100</f>
        <v>#DIV/0!</v>
      </c>
      <c r="F88" s="1"/>
      <c r="G88" s="1" t="e">
        <f t="shared" si="9"/>
        <v>#DIV/0!</v>
      </c>
      <c r="H88" s="34"/>
      <c r="I88" s="34">
        <f t="shared" si="10"/>
        <v>0</v>
      </c>
      <c r="J88" s="152"/>
      <c r="K88" s="153"/>
    </row>
    <row r="89" spans="1:11" ht="17.25" customHeight="1" hidden="1" thickBot="1">
      <c r="A89" s="19" t="s">
        <v>24</v>
      </c>
      <c r="B89" s="32"/>
      <c r="C89" s="33"/>
      <c r="D89" s="34"/>
      <c r="E89" s="1" t="e">
        <f>D89/D87*100</f>
        <v>#DIV/0!</v>
      </c>
      <c r="F89" s="1"/>
      <c r="G89" s="1" t="e">
        <f t="shared" si="9"/>
        <v>#DIV/0!</v>
      </c>
      <c r="H89" s="34"/>
      <c r="I89" s="34">
        <f t="shared" si="10"/>
        <v>0</v>
      </c>
      <c r="J89" s="152"/>
      <c r="K89" s="153"/>
    </row>
    <row r="90" spans="1:11" ht="19.5" thickBot="1">
      <c r="A90" s="11" t="s">
        <v>10</v>
      </c>
      <c r="B90" s="42">
        <f>175244.2+100-321+14144.1+461</f>
        <v>189628.30000000002</v>
      </c>
      <c r="C90" s="36">
        <f>200580.6+2044.4+100+113.7+1216.5+2914.6</f>
        <v>206969.80000000002</v>
      </c>
      <c r="D90" s="37">
        <f>163043.6+2929.1+4743+0.1+24.6+255.3+62.3+21.8+32.8+6.6+402.7+1480.2+3226+109.1+17.7+22.1+585.8+20.3+65+7.6+6.1+2192.3+4645.9+2095+0.4+0.2+79.2+340.9+68.6+54.4+50.2+826.6+3156+1398.1+40.6+42.5+252+228.9+1344.2</f>
        <v>193877.80000000005</v>
      </c>
      <c r="E90" s="3">
        <f>D90/D154*100</f>
        <v>9.896525819592782</v>
      </c>
      <c r="F90" s="3">
        <f aca="true" t="shared" si="11" ref="F90:F96">D90/B90*100</f>
        <v>102.24096297862715</v>
      </c>
      <c r="G90" s="3">
        <f t="shared" si="9"/>
        <v>93.67443945928345</v>
      </c>
      <c r="H90" s="37">
        <f aca="true" t="shared" si="12" ref="H90:H96">B90-D90</f>
        <v>-4249.500000000029</v>
      </c>
      <c r="I90" s="37">
        <f t="shared" si="10"/>
        <v>13091.99999999997</v>
      </c>
      <c r="J90" s="152"/>
      <c r="K90" s="153"/>
    </row>
    <row r="91" spans="1:11" s="151" customFormat="1" ht="21.75" customHeight="1">
      <c r="A91" s="92" t="s">
        <v>3</v>
      </c>
      <c r="B91" s="114">
        <f>163944.6+273.6+100-321+12937.7+490+80</f>
        <v>177504.90000000002</v>
      </c>
      <c r="C91" s="115">
        <f>190000-46.7+2697.6</f>
        <v>192650.9</v>
      </c>
      <c r="D91" s="94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+3143.7+2085.3+10.7+12.5+1865.8+2835.7+4721.6+238.9+24.7+32.1+0.5+370.7+1385.1+3197.6+71.4+2.6+6.3+2040.6+4629.5+2036.2+53.8+153.9+20+750+2916.3+1377.4+0.6+1129.1</f>
        <v>181863.81000000006</v>
      </c>
      <c r="E91" s="96">
        <f>D91/D90*100</f>
        <v>93.8033183788964</v>
      </c>
      <c r="F91" s="96">
        <f t="shared" si="11"/>
        <v>102.45565615371746</v>
      </c>
      <c r="G91" s="96">
        <f t="shared" si="9"/>
        <v>94.40070614775226</v>
      </c>
      <c r="H91" s="94">
        <f t="shared" si="12"/>
        <v>-4358.910000000033</v>
      </c>
      <c r="I91" s="94">
        <f t="shared" si="10"/>
        <v>10787.089999999938</v>
      </c>
      <c r="K91" s="153"/>
    </row>
    <row r="92" spans="1:11" s="151" customFormat="1" ht="18">
      <c r="A92" s="92" t="s">
        <v>25</v>
      </c>
      <c r="B92" s="114">
        <f>2081.4-200+447.3-40</f>
        <v>2288.7000000000003</v>
      </c>
      <c r="C92" s="115">
        <f>2776.4-312</f>
        <v>2464.4</v>
      </c>
      <c r="D92" s="94">
        <f>57.2+3.4+167+1.4+0.3+83.4+86.9+53.1+5.3+4.7+17+71.3+284.2+22.2+4.8+1.6+54.8+7+38.2+1.9+190+51.9+21+0.9+36.9+5.5+20.1+0.9+46.6+43.3-17.3+22+2.1+65.9+0.7+4.5+1+37+52.4+38.3+64.1+5+1.1+50.5+3.4+14.9+1.4+1.3+61.1+6.3+24+197.7+1.8</f>
        <v>2022.0000000000002</v>
      </c>
      <c r="E92" s="96">
        <f>D92/D90*100</f>
        <v>1.0429249764542408</v>
      </c>
      <c r="F92" s="96">
        <f t="shared" si="11"/>
        <v>88.34709660505963</v>
      </c>
      <c r="G92" s="96">
        <f t="shared" si="9"/>
        <v>82.04836877130337</v>
      </c>
      <c r="H92" s="94">
        <f t="shared" si="12"/>
        <v>266.70000000000005</v>
      </c>
      <c r="I92" s="94">
        <f t="shared" si="10"/>
        <v>442.39999999999986</v>
      </c>
      <c r="K92" s="153"/>
    </row>
    <row r="93" spans="1:11" s="151" customFormat="1" ht="18" hidden="1">
      <c r="A93" s="92" t="s">
        <v>14</v>
      </c>
      <c r="B93" s="114"/>
      <c r="C93" s="115"/>
      <c r="D93" s="115"/>
      <c r="E93" s="116">
        <f>D93/D90*100</f>
        <v>0</v>
      </c>
      <c r="F93" s="96"/>
      <c r="G93" s="96" t="e">
        <f t="shared" si="9"/>
        <v>#DIV/0!</v>
      </c>
      <c r="H93" s="94">
        <f t="shared" si="12"/>
        <v>0</v>
      </c>
      <c r="I93" s="94">
        <f t="shared" si="10"/>
        <v>0</v>
      </c>
      <c r="K93" s="153"/>
    </row>
    <row r="94" spans="1:11" s="151" customFormat="1" ht="18.75" thickBot="1">
      <c r="A94" s="92" t="s">
        <v>27</v>
      </c>
      <c r="B94" s="115">
        <f>B90-B91-B92-B93</f>
        <v>9834.699999999993</v>
      </c>
      <c r="C94" s="115">
        <f>C90-C91-C92-C93</f>
        <v>11854.500000000024</v>
      </c>
      <c r="D94" s="115">
        <f>D90-D91-D92-D93</f>
        <v>9991.98999999999</v>
      </c>
      <c r="E94" s="96">
        <f>D94/D90*100</f>
        <v>5.153756644649356</v>
      </c>
      <c r="F94" s="96">
        <f t="shared" si="11"/>
        <v>101.59933704129254</v>
      </c>
      <c r="G94" s="96">
        <f>D94/C94*100</f>
        <v>84.2885823948709</v>
      </c>
      <c r="H94" s="94">
        <f t="shared" si="12"/>
        <v>-157.28999999999724</v>
      </c>
      <c r="I94" s="94">
        <f>C94-D94</f>
        <v>1862.510000000033</v>
      </c>
      <c r="K94" s="153"/>
    </row>
    <row r="95" spans="1:11" ht="18.75">
      <c r="A95" s="76" t="s">
        <v>12</v>
      </c>
      <c r="B95" s="84">
        <f>40899.5-372</f>
        <v>40527.5</v>
      </c>
      <c r="C95" s="79">
        <f>46414.5+100+39.4+1153.5-64.6-244.3+39946.8-372-3302.4</f>
        <v>83670.90000000001</v>
      </c>
      <c r="D95" s="78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+719.7+249.3+22+796+6.6+58.6+18.6+983.4+30.1+589.1+706.3+316.8+106.5+1273.5+114.8+133.6+67.8+0.2+430.4+423.3-291.8+560.8+0.1+67.2+114.2+32.8+23.9+152.4+914.5+1340.8+1.1+3+496.4+545.7+2.3+279.1+62.4+635+499.2</f>
        <v>42038.700000000004</v>
      </c>
      <c r="E95" s="75">
        <f>D95/D154*100</f>
        <v>2.1458727093670085</v>
      </c>
      <c r="F95" s="77">
        <f t="shared" si="11"/>
        <v>103.72882610573069</v>
      </c>
      <c r="G95" s="74">
        <f>D95/C95*100</f>
        <v>50.24291599588388</v>
      </c>
      <c r="H95" s="78">
        <f t="shared" si="12"/>
        <v>-1511.2000000000044</v>
      </c>
      <c r="I95" s="80">
        <f>C95-D95</f>
        <v>41632.200000000004</v>
      </c>
      <c r="J95" s="152"/>
      <c r="K95" s="153"/>
    </row>
    <row r="96" spans="1:11" s="151" customFormat="1" ht="18.75" thickBot="1">
      <c r="A96" s="117" t="s">
        <v>83</v>
      </c>
      <c r="B96" s="118">
        <v>10114.6</v>
      </c>
      <c r="C96" s="119">
        <f>12814.2-145.8</f>
        <v>12668.400000000001</v>
      </c>
      <c r="D96" s="120">
        <f>194.6+1234+3.4+0.5+79.6+1026.4+0.7+86.4+939.3+4.2+87.7+624.7+8+489.4+90.3+1.9+597.9+5.5+67.2+2.1+31.9+0.2+90.5+32.4+530.2+66+90.3+454.6+5.4+212.8+729.6+32.4+38.7+3.5+1+0.1+88.2+719.7+5.7+3.5+34.6+90.6+1035.4+1.6-0.1+1.4+37.3+88.3+1136.4+1.1+7.5</f>
        <v>11114.599999999997</v>
      </c>
      <c r="E96" s="121">
        <f>D96/D95*100</f>
        <v>26.438971709401088</v>
      </c>
      <c r="F96" s="122">
        <f t="shared" si="11"/>
        <v>109.88669843592427</v>
      </c>
      <c r="G96" s="123">
        <f>D96/C96*100</f>
        <v>87.73483628556089</v>
      </c>
      <c r="H96" s="124">
        <f t="shared" si="12"/>
        <v>-999.9999999999964</v>
      </c>
      <c r="I96" s="113">
        <f>C96-D96</f>
        <v>1553.8000000000047</v>
      </c>
      <c r="J96" s="152"/>
      <c r="K96" s="153"/>
    </row>
    <row r="97" spans="1:11" ht="8.25" customHeight="1" thickBot="1">
      <c r="A97" s="15"/>
      <c r="B97" s="40"/>
      <c r="C97" s="48"/>
      <c r="D97" s="49"/>
      <c r="E97" s="6"/>
      <c r="F97" s="6"/>
      <c r="G97" s="6"/>
      <c r="H97" s="49"/>
      <c r="I97" s="49"/>
      <c r="J97" s="152"/>
      <c r="K97" s="153"/>
    </row>
    <row r="98" spans="1:11" ht="19.5" hidden="1" thickBot="1">
      <c r="A98" s="23" t="s">
        <v>37</v>
      </c>
      <c r="B98" s="56"/>
      <c r="C98" s="57"/>
      <c r="D98" s="58"/>
      <c r="E98" s="3">
        <f>D98/D154*100</f>
        <v>0</v>
      </c>
      <c r="F98" s="3"/>
      <c r="G98" s="3" t="e">
        <f>D98/C98*100</f>
        <v>#DIV/0!</v>
      </c>
      <c r="H98" s="37"/>
      <c r="I98" s="37">
        <f>C98-D98</f>
        <v>0</v>
      </c>
      <c r="J98" s="152"/>
      <c r="K98" s="153"/>
    </row>
    <row r="99" spans="1:11" ht="5.25" customHeight="1" hidden="1" thickBot="1">
      <c r="A99" s="22"/>
      <c r="B99" s="53"/>
      <c r="C99" s="54"/>
      <c r="D99" s="55"/>
      <c r="E99" s="12"/>
      <c r="F99" s="6"/>
      <c r="G99" s="6"/>
      <c r="H99" s="49"/>
      <c r="I99" s="154"/>
      <c r="J99" s="152"/>
      <c r="K99" s="153"/>
    </row>
    <row r="100" spans="1:11" s="13" customFormat="1" ht="36" customHeight="1" hidden="1" thickBot="1">
      <c r="A100" s="11" t="s">
        <v>51</v>
      </c>
      <c r="B100" s="42"/>
      <c r="C100" s="36"/>
      <c r="D100" s="37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7">
        <f>B100-D100</f>
        <v>0</v>
      </c>
      <c r="I100" s="37">
        <f>C100-D100</f>
        <v>0</v>
      </c>
      <c r="J100" s="146"/>
      <c r="K100" s="153"/>
    </row>
    <row r="101" spans="1:11" ht="6.75" customHeight="1" hidden="1" thickBot="1">
      <c r="A101" s="155"/>
      <c r="B101" s="156"/>
      <c r="C101" s="54"/>
      <c r="D101" s="55"/>
      <c r="E101" s="12"/>
      <c r="F101" s="6"/>
      <c r="G101" s="6"/>
      <c r="H101" s="49"/>
      <c r="I101" s="154"/>
      <c r="J101" s="152"/>
      <c r="K101" s="153"/>
    </row>
    <row r="102" spans="1:11" s="29" customFormat="1" ht="19.5" thickBot="1">
      <c r="A102" s="11" t="s">
        <v>11</v>
      </c>
      <c r="B102" s="83">
        <f>11280.9-100+784.6-461</f>
        <v>11504.5</v>
      </c>
      <c r="C102" s="66">
        <f>11266.5-91.2+1707.2+14.9+0.2+1010.6-1494.7</f>
        <v>12413.5</v>
      </c>
      <c r="D102" s="62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+135.5+22.2+97+4.2+44.5+16.4+65.8+1.8+80.5+27.9+21.7+22.7+20+14.4+10.8+144.7-22.7-0.4+61+11.9+115+40+119.6+2+100.4+3.4+21+109.8+4.2+7.2+29.9+61.3+8.9+185.1+1.8+22.7+47.5+12+106.1+0.5+201.7+219.3</f>
        <v>11374.1</v>
      </c>
      <c r="E102" s="16">
        <f>D102/D154*100</f>
        <v>0.580592900912999</v>
      </c>
      <c r="F102" s="16">
        <f>D102/B102*100</f>
        <v>98.8665304880699</v>
      </c>
      <c r="G102" s="16">
        <f aca="true" t="shared" si="13" ref="G102:G152">D102/C102*100</f>
        <v>91.62685785636604</v>
      </c>
      <c r="H102" s="62">
        <f aca="true" t="shared" si="14" ref="H102:H108">B102-D102</f>
        <v>130.39999999999964</v>
      </c>
      <c r="I102" s="62">
        <f aca="true" t="shared" si="15" ref="I102:I152">C102-D102</f>
        <v>1039.3999999999996</v>
      </c>
      <c r="J102" s="147"/>
      <c r="K102" s="153"/>
    </row>
    <row r="103" spans="1:11" s="151" customFormat="1" ht="18.75" customHeight="1">
      <c r="A103" s="92" t="s">
        <v>3</v>
      </c>
      <c r="B103" s="106">
        <f>291.1+36.3</f>
        <v>327.40000000000003</v>
      </c>
      <c r="C103" s="107">
        <v>363.8</v>
      </c>
      <c r="D103" s="107">
        <f>31.2+4.8+33.9+5.2+30.9+10.3+19.9+19.5+19.7+20.2+35.3+10.4+50+4.2+25.5+37.3</f>
        <v>358.29999999999995</v>
      </c>
      <c r="E103" s="108">
        <f>D103/D102*100</f>
        <v>3.1501393516849676</v>
      </c>
      <c r="F103" s="96">
        <f>D103/B103*100</f>
        <v>109.43799633475868</v>
      </c>
      <c r="G103" s="108">
        <f>D103/C103*100</f>
        <v>98.4881803188565</v>
      </c>
      <c r="H103" s="107">
        <f t="shared" si="14"/>
        <v>-30.89999999999992</v>
      </c>
      <c r="I103" s="107">
        <f t="shared" si="15"/>
        <v>5.500000000000057</v>
      </c>
      <c r="J103" s="152"/>
      <c r="K103" s="153"/>
    </row>
    <row r="104" spans="1:11" s="151" customFormat="1" ht="18">
      <c r="A104" s="109" t="s">
        <v>48</v>
      </c>
      <c r="B104" s="93">
        <f>9329.9-100+615.5-461</f>
        <v>9384.4</v>
      </c>
      <c r="C104" s="94">
        <f>8949.2-91.2+1682.1+14.9+68.9-484.8</f>
        <v>10139.1</v>
      </c>
      <c r="D104" s="94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+135.4+22.2+61.7+29.1+16.4+65.8+1.8+0.3+27.9+14.4-0.1+139.5+61+6+59.8+40+113.1+2+100.4+17.8+7.2+61.3+49.2+133.4+1.8+22+20+188.1+23</f>
        <v>9352.599999999997</v>
      </c>
      <c r="E104" s="96">
        <f>D104/D102*100</f>
        <v>82.22716522625963</v>
      </c>
      <c r="F104" s="96">
        <f aca="true" t="shared" si="16" ref="F104:F152">D104/B104*100</f>
        <v>99.6611397638634</v>
      </c>
      <c r="G104" s="96">
        <f t="shared" si="13"/>
        <v>92.24290124370009</v>
      </c>
      <c r="H104" s="94">
        <f t="shared" si="14"/>
        <v>31.80000000000291</v>
      </c>
      <c r="I104" s="94">
        <f t="shared" si="15"/>
        <v>786.5000000000036</v>
      </c>
      <c r="J104" s="152"/>
      <c r="K104" s="153"/>
    </row>
    <row r="105" spans="1:11" s="151" customFormat="1" ht="54.75" hidden="1" thickBot="1">
      <c r="A105" s="110" t="s">
        <v>79</v>
      </c>
      <c r="B105" s="111"/>
      <c r="C105" s="111"/>
      <c r="D105" s="111"/>
      <c r="E105" s="112">
        <f>D105/D102*100</f>
        <v>0</v>
      </c>
      <c r="F105" s="112" t="e">
        <f>D105/B105*100</f>
        <v>#DIV/0!</v>
      </c>
      <c r="G105" s="112" t="e">
        <f>D105/C105*100</f>
        <v>#DIV/0!</v>
      </c>
      <c r="H105" s="113">
        <f t="shared" si="14"/>
        <v>0</v>
      </c>
      <c r="I105" s="113">
        <f>C105-D105</f>
        <v>0</v>
      </c>
      <c r="J105" s="152"/>
      <c r="K105" s="153"/>
    </row>
    <row r="106" spans="1:11" s="151" customFormat="1" ht="18.75" thickBot="1">
      <c r="A106" s="110" t="s">
        <v>27</v>
      </c>
      <c r="B106" s="111">
        <f>B102-B103-B104</f>
        <v>1792.7000000000007</v>
      </c>
      <c r="C106" s="111">
        <f>C102-C103-C104</f>
        <v>1910.6000000000004</v>
      </c>
      <c r="D106" s="111">
        <f>D102-D103-D104</f>
        <v>1663.2000000000044</v>
      </c>
      <c r="E106" s="112">
        <f>D106/D102*100</f>
        <v>14.62269542205541</v>
      </c>
      <c r="F106" s="112">
        <f t="shared" si="16"/>
        <v>92.77625927372141</v>
      </c>
      <c r="G106" s="112">
        <f t="shared" si="13"/>
        <v>87.05118810844782</v>
      </c>
      <c r="H106" s="113">
        <f t="shared" si="14"/>
        <v>129.49999999999636</v>
      </c>
      <c r="I106" s="113">
        <f t="shared" si="15"/>
        <v>247.399999999996</v>
      </c>
      <c r="J106" s="152"/>
      <c r="K106" s="153"/>
    </row>
    <row r="107" spans="1:12" s="2" customFormat="1" ht="26.25" customHeight="1" thickBot="1">
      <c r="A107" s="63" t="s">
        <v>28</v>
      </c>
      <c r="B107" s="64">
        <f>SUM(B108:B151)-B115-B120+B152-B142-B143-B109-B112-B123-B124-B140-B133-B131-B138-B118</f>
        <v>517543.0920600001</v>
      </c>
      <c r="C107" s="64">
        <f>SUM(C108:C151)-C115-C120+C152-C142-C143-C109-C112-C123-C124-C140-C133-C131-C138-C118</f>
        <v>584005.7999999999</v>
      </c>
      <c r="D107" s="64">
        <f>SUM(D108:D151)-D115-D120+D152-D142-D143-D109-D112-D123-D124-D140-D133-D131-D138-D118</f>
        <v>511013.80000000005</v>
      </c>
      <c r="E107" s="65">
        <f>D107/D154*100</f>
        <v>26.084787767698113</v>
      </c>
      <c r="F107" s="65">
        <f>D107/B107*100</f>
        <v>98.73840610372922</v>
      </c>
      <c r="G107" s="65">
        <f t="shared" si="13"/>
        <v>87.50149399201173</v>
      </c>
      <c r="H107" s="64">
        <f t="shared" si="14"/>
        <v>6529.292060000065</v>
      </c>
      <c r="I107" s="64">
        <f t="shared" si="15"/>
        <v>72991.99999999988</v>
      </c>
      <c r="J107" s="144"/>
      <c r="K107" s="153"/>
      <c r="L107" s="86"/>
    </row>
    <row r="108" spans="1:12" s="151" customFormat="1" ht="37.5">
      <c r="A108" s="87" t="s">
        <v>52</v>
      </c>
      <c r="B108" s="141">
        <f>3293.6+593</f>
        <v>3886.6</v>
      </c>
      <c r="C108" s="138">
        <v>4459</v>
      </c>
      <c r="D108" s="88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+6.9+11.1+7+3.8+2.6+52.4+3.3+149+5.4+10.6+3.5+5.9+4.5+8.8+137.5+31.9+43.8+9+0.3+46.6+0.2+225.4</f>
        <v>2839.7000000000003</v>
      </c>
      <c r="E108" s="89">
        <f>D108/D107*100</f>
        <v>0.5556992785713419</v>
      </c>
      <c r="F108" s="89">
        <f t="shared" si="16"/>
        <v>73.06386044357536</v>
      </c>
      <c r="G108" s="89">
        <f t="shared" si="13"/>
        <v>63.684682664274504</v>
      </c>
      <c r="H108" s="90">
        <f t="shared" si="14"/>
        <v>1046.8999999999996</v>
      </c>
      <c r="I108" s="90">
        <f t="shared" si="15"/>
        <v>1619.2999999999997</v>
      </c>
      <c r="K108" s="153"/>
      <c r="L108" s="91"/>
    </row>
    <row r="109" spans="1:12" s="151" customFormat="1" ht="18.75">
      <c r="A109" s="92" t="s">
        <v>25</v>
      </c>
      <c r="B109" s="93">
        <f>1460.7+267.1</f>
        <v>1727.8000000000002</v>
      </c>
      <c r="C109" s="94">
        <v>1995</v>
      </c>
      <c r="D109" s="95">
        <f>47.8+0.9+59.7+88.3+0.1+59.2+38.8+107.4+24+91.1+38+42.5+2+31.4+47.6+36.5-21.6+46.3+2.4+36.1+37.9+4+3.5+46.3+43.8+46.6+87.7</f>
        <v>1048.3</v>
      </c>
      <c r="E109" s="96">
        <f>D109/D108*100</f>
        <v>36.915871394865654</v>
      </c>
      <c r="F109" s="96">
        <f t="shared" si="16"/>
        <v>60.67253154300265</v>
      </c>
      <c r="G109" s="96">
        <f t="shared" si="13"/>
        <v>52.54636591478696</v>
      </c>
      <c r="H109" s="94">
        <f aca="true" t="shared" si="17" ref="H109:H152">B109-D109</f>
        <v>679.5000000000002</v>
      </c>
      <c r="I109" s="94">
        <f t="shared" si="15"/>
        <v>946.7</v>
      </c>
      <c r="K109" s="153"/>
      <c r="L109" s="91"/>
    </row>
    <row r="110" spans="1:12" s="151" customFormat="1" ht="34.5" customHeight="1" hidden="1">
      <c r="A110" s="97" t="s">
        <v>78</v>
      </c>
      <c r="B110" s="140"/>
      <c r="C110" s="90"/>
      <c r="D110" s="88"/>
      <c r="E110" s="89">
        <f>D110/D107*100</f>
        <v>0</v>
      </c>
      <c r="F110" s="89" t="e">
        <f>D110/B110*100</f>
        <v>#DIV/0!</v>
      </c>
      <c r="G110" s="89" t="e">
        <f t="shared" si="13"/>
        <v>#DIV/0!</v>
      </c>
      <c r="H110" s="90">
        <f t="shared" si="17"/>
        <v>0</v>
      </c>
      <c r="I110" s="90">
        <f t="shared" si="15"/>
        <v>0</v>
      </c>
      <c r="K110" s="153"/>
      <c r="L110" s="91"/>
    </row>
    <row r="111" spans="1:12" s="85" customFormat="1" ht="34.5" customHeight="1">
      <c r="A111" s="97" t="s">
        <v>93</v>
      </c>
      <c r="B111" s="142">
        <f>170.3+14.9</f>
        <v>185.20000000000002</v>
      </c>
      <c r="C111" s="98">
        <f>200-200</f>
        <v>0</v>
      </c>
      <c r="D111" s="99"/>
      <c r="E111" s="89">
        <f>D111/D107*100</f>
        <v>0</v>
      </c>
      <c r="F111" s="89">
        <f t="shared" si="16"/>
        <v>0</v>
      </c>
      <c r="G111" s="89" t="e">
        <f t="shared" si="13"/>
        <v>#DIV/0!</v>
      </c>
      <c r="H111" s="90">
        <f t="shared" si="17"/>
        <v>185.20000000000002</v>
      </c>
      <c r="I111" s="90">
        <f t="shared" si="15"/>
        <v>0</v>
      </c>
      <c r="K111" s="153"/>
      <c r="L111" s="91"/>
    </row>
    <row r="112" spans="1:12" s="151" customFormat="1" ht="18.75" hidden="1">
      <c r="A112" s="92" t="s">
        <v>25</v>
      </c>
      <c r="B112" s="139"/>
      <c r="C112" s="94"/>
      <c r="D112" s="95"/>
      <c r="E112" s="96"/>
      <c r="F112" s="96" t="e">
        <f t="shared" si="16"/>
        <v>#DIV/0!</v>
      </c>
      <c r="G112" s="96" t="e">
        <f t="shared" si="13"/>
        <v>#DIV/0!</v>
      </c>
      <c r="H112" s="94">
        <f t="shared" si="17"/>
        <v>0</v>
      </c>
      <c r="I112" s="94">
        <f t="shared" si="15"/>
        <v>0</v>
      </c>
      <c r="K112" s="153"/>
      <c r="L112" s="91"/>
    </row>
    <row r="113" spans="1:12" s="151" customFormat="1" ht="18.75">
      <c r="A113" s="97" t="s">
        <v>89</v>
      </c>
      <c r="B113" s="142">
        <v>64.296</v>
      </c>
      <c r="C113" s="90">
        <v>64.3</v>
      </c>
      <c r="D113" s="88">
        <f>6.8+7+3.6+16.9+0.1+11+1+17.9</f>
        <v>64.3</v>
      </c>
      <c r="E113" s="89">
        <f>D113/D107*100</f>
        <v>0.012582830444109336</v>
      </c>
      <c r="F113" s="89">
        <f t="shared" si="16"/>
        <v>100.00622122682591</v>
      </c>
      <c r="G113" s="89">
        <f t="shared" si="13"/>
        <v>100</v>
      </c>
      <c r="H113" s="90">
        <f t="shared" si="17"/>
        <v>-0.003999999999990678</v>
      </c>
      <c r="I113" s="90">
        <f t="shared" si="15"/>
        <v>0</v>
      </c>
      <c r="K113" s="153"/>
      <c r="L113" s="91"/>
    </row>
    <row r="114" spans="1:12" s="151" customFormat="1" ht="37.5">
      <c r="A114" s="97" t="s">
        <v>38</v>
      </c>
      <c r="B114" s="142">
        <f>2758.7+278.3</f>
        <v>3037</v>
      </c>
      <c r="C114" s="90">
        <f>3311.5-49.5</f>
        <v>3262</v>
      </c>
      <c r="D114" s="88">
        <f>136.4+10+40+6.6+6.1+0.2+177.4+10+1.8+25.1+29.4+48.1+8.1+193.1+10+0.1+17.8+8.8+132.4+79.7+12.6+4.3+3.5+212.4+8.1+0.4+10.8+218.3+5.3+16.4+166.6+54.3+12.8+52.1+1.1+0.2+214.8+15.7+3.7+4.8+133.9+54.7+10.7+6.3+7.4+1.2+219.4+17.7+3.9+0.9+21.1+3.2+4.4+207.3+10.7+3.5+15.7+17.7+142.4</f>
        <v>2841.399999999999</v>
      </c>
      <c r="E114" s="89">
        <f>D114/D107*100</f>
        <v>0.5560319506048562</v>
      </c>
      <c r="F114" s="89">
        <f t="shared" si="16"/>
        <v>93.55943365162987</v>
      </c>
      <c r="G114" s="89">
        <f t="shared" si="13"/>
        <v>87.10606989576945</v>
      </c>
      <c r="H114" s="90">
        <f t="shared" si="17"/>
        <v>195.60000000000082</v>
      </c>
      <c r="I114" s="90">
        <f t="shared" si="15"/>
        <v>420.6000000000008</v>
      </c>
      <c r="K114" s="153"/>
      <c r="L114" s="91"/>
    </row>
    <row r="115" spans="1:12" s="151" customFormat="1" ht="18.75" hidden="1">
      <c r="A115" s="100" t="s">
        <v>43</v>
      </c>
      <c r="B115" s="139"/>
      <c r="C115" s="94"/>
      <c r="D115" s="95"/>
      <c r="E115" s="89"/>
      <c r="F115" s="89" t="e">
        <f t="shared" si="16"/>
        <v>#DIV/0!</v>
      </c>
      <c r="G115" s="96" t="e">
        <f t="shared" si="13"/>
        <v>#DIV/0!</v>
      </c>
      <c r="H115" s="94">
        <f t="shared" si="17"/>
        <v>0</v>
      </c>
      <c r="I115" s="94">
        <f t="shared" si="15"/>
        <v>0</v>
      </c>
      <c r="K115" s="153"/>
      <c r="L115" s="91"/>
    </row>
    <row r="116" spans="1:12" s="85" customFormat="1" ht="18.75" customHeight="1" hidden="1">
      <c r="A116" s="97" t="s">
        <v>90</v>
      </c>
      <c r="B116" s="140"/>
      <c r="C116" s="98"/>
      <c r="D116" s="99"/>
      <c r="E116" s="101">
        <f>D116/D107*100</f>
        <v>0</v>
      </c>
      <c r="F116" s="89" t="e">
        <f t="shared" si="16"/>
        <v>#DIV/0!</v>
      </c>
      <c r="G116" s="101" t="e">
        <f t="shared" si="13"/>
        <v>#DIV/0!</v>
      </c>
      <c r="H116" s="98">
        <f t="shared" si="17"/>
        <v>0</v>
      </c>
      <c r="I116" s="98">
        <f t="shared" si="15"/>
        <v>0</v>
      </c>
      <c r="K116" s="153"/>
      <c r="L116" s="91"/>
    </row>
    <row r="117" spans="1:12" s="151" customFormat="1" ht="37.5">
      <c r="A117" s="97" t="s">
        <v>47</v>
      </c>
      <c r="B117" s="142">
        <f>200-130</f>
        <v>70</v>
      </c>
      <c r="C117" s="90">
        <f>200-130</f>
        <v>70</v>
      </c>
      <c r="D117" s="88">
        <f>15+40+1.2+1.8+2.6+2.4+2.8+3.4</f>
        <v>69.2</v>
      </c>
      <c r="E117" s="89">
        <f>D117/D107*100</f>
        <v>0.01354170865835717</v>
      </c>
      <c r="F117" s="89">
        <f>D117/B117*100</f>
        <v>98.85714285714286</v>
      </c>
      <c r="G117" s="89">
        <f t="shared" si="13"/>
        <v>98.85714285714286</v>
      </c>
      <c r="H117" s="90">
        <f t="shared" si="17"/>
        <v>0.7999999999999972</v>
      </c>
      <c r="I117" s="90">
        <f t="shared" si="15"/>
        <v>0.7999999999999972</v>
      </c>
      <c r="K117" s="153"/>
      <c r="L117" s="91"/>
    </row>
    <row r="118" spans="1:12" s="151" customFormat="1" ht="18.75">
      <c r="A118" s="100" t="s">
        <v>88</v>
      </c>
      <c r="B118" s="149">
        <v>40</v>
      </c>
      <c r="C118" s="150">
        <v>40</v>
      </c>
      <c r="D118" s="95">
        <v>40</v>
      </c>
      <c r="E118" s="96">
        <f>D118/D117*100</f>
        <v>57.80346820809248</v>
      </c>
      <c r="F118" s="96">
        <f>D118/B118*100</f>
        <v>100</v>
      </c>
      <c r="G118" s="96">
        <f>D118/C118*100</f>
        <v>100</v>
      </c>
      <c r="H118" s="94">
        <f>B118-D118</f>
        <v>0</v>
      </c>
      <c r="I118" s="94">
        <f>C118-D118</f>
        <v>0</v>
      </c>
      <c r="K118" s="153"/>
      <c r="L118" s="91"/>
    </row>
    <row r="119" spans="1:12" s="102" customFormat="1" ht="18.75">
      <c r="A119" s="97" t="s">
        <v>15</v>
      </c>
      <c r="B119" s="142">
        <f>388.3+52.7</f>
        <v>441</v>
      </c>
      <c r="C119" s="98">
        <v>491.6</v>
      </c>
      <c r="D119" s="88">
        <f>45.4+9.9+47+6.4+0.4+0.4+45.4+0.4+2.9+45.4+4+6.8+0.4+45.4+0.1+5.8+0.8+0.4+0.8+0.7+13+0.4+5+0.3+0.8+45.4+5+1.1+45.4+0.3+3.7+0.8+3.3+45.4+1.1+1.3+0.8+0.4+45.4</f>
        <v>487.70000000000005</v>
      </c>
      <c r="E119" s="89">
        <f>D119/D107*100</f>
        <v>0.0954377357323814</v>
      </c>
      <c r="F119" s="89">
        <f t="shared" si="16"/>
        <v>110.58956916099774</v>
      </c>
      <c r="G119" s="89">
        <f t="shared" si="13"/>
        <v>99.20667209113101</v>
      </c>
      <c r="H119" s="90">
        <f t="shared" si="17"/>
        <v>-46.700000000000045</v>
      </c>
      <c r="I119" s="90">
        <f t="shared" si="15"/>
        <v>3.8999999999999773</v>
      </c>
      <c r="K119" s="153"/>
      <c r="L119" s="91"/>
    </row>
    <row r="120" spans="1:12" s="103" customFormat="1" ht="18.75">
      <c r="A120" s="100" t="s">
        <v>43</v>
      </c>
      <c r="B120" s="93">
        <v>363.4</v>
      </c>
      <c r="C120" s="94">
        <v>408.8</v>
      </c>
      <c r="D120" s="95">
        <f>45.4+45.4+45.4+45.4+45.4+0.1+45.4+45.4+45.4+45.4</f>
        <v>408.69999999999993</v>
      </c>
      <c r="E120" s="96">
        <f>D120/D119*100</f>
        <v>83.80151732622511</v>
      </c>
      <c r="F120" s="96">
        <f t="shared" si="16"/>
        <v>112.4656026417171</v>
      </c>
      <c r="G120" s="96">
        <f t="shared" si="13"/>
        <v>99.97553816046964</v>
      </c>
      <c r="H120" s="94">
        <f t="shared" si="17"/>
        <v>-45.299999999999955</v>
      </c>
      <c r="I120" s="94">
        <f t="shared" si="15"/>
        <v>0.10000000000007958</v>
      </c>
      <c r="K120" s="153"/>
      <c r="L120" s="91"/>
    </row>
    <row r="121" spans="1:12" s="102" customFormat="1" ht="18.75">
      <c r="A121" s="97" t="s">
        <v>105</v>
      </c>
      <c r="B121" s="142">
        <f>275+22</f>
        <v>297</v>
      </c>
      <c r="C121" s="98">
        <f>317-111</f>
        <v>206</v>
      </c>
      <c r="D121" s="88">
        <f>3.6+3+7+40+10+32</f>
        <v>95.6</v>
      </c>
      <c r="E121" s="89">
        <f>D121/D107*100</f>
        <v>0.018707909649406725</v>
      </c>
      <c r="F121" s="89">
        <f t="shared" si="16"/>
        <v>32.18855218855219</v>
      </c>
      <c r="G121" s="89">
        <f t="shared" si="13"/>
        <v>46.40776699029126</v>
      </c>
      <c r="H121" s="90">
        <f t="shared" si="17"/>
        <v>201.4</v>
      </c>
      <c r="I121" s="90">
        <f t="shared" si="15"/>
        <v>110.4</v>
      </c>
      <c r="K121" s="153"/>
      <c r="L121" s="91"/>
    </row>
    <row r="122" spans="1:13" s="102" customFormat="1" ht="21.75" customHeight="1">
      <c r="A122" s="97" t="s">
        <v>94</v>
      </c>
      <c r="B122" s="142">
        <f>559.999-88.1+88.1</f>
        <v>559.999</v>
      </c>
      <c r="C122" s="98">
        <f>480+80</f>
        <v>560</v>
      </c>
      <c r="D122" s="99">
        <f>12+360.2+19.8+20.5+40.3+18.3+0.8</f>
        <v>471.90000000000003</v>
      </c>
      <c r="E122" s="101">
        <f>D122/D107*100</f>
        <v>0.09234584271501083</v>
      </c>
      <c r="F122" s="89">
        <f t="shared" si="16"/>
        <v>84.26800762144218</v>
      </c>
      <c r="G122" s="89">
        <f t="shared" si="13"/>
        <v>84.26785714285715</v>
      </c>
      <c r="H122" s="90">
        <f t="shared" si="17"/>
        <v>88.09899999999999</v>
      </c>
      <c r="I122" s="90">
        <f t="shared" si="15"/>
        <v>88.09999999999997</v>
      </c>
      <c r="J122" s="144"/>
      <c r="K122" s="153"/>
      <c r="L122" s="153"/>
      <c r="M122" s="153">
        <f>J108+J111+J113+J114+J117+J119+J121+J126+J127+J128+J130+J132+J136+J137+J139+J69</f>
        <v>0</v>
      </c>
    </row>
    <row r="123" spans="1:12" s="104" customFormat="1" ht="18.75" hidden="1">
      <c r="A123" s="92" t="s">
        <v>80</v>
      </c>
      <c r="B123" s="139"/>
      <c r="C123" s="94"/>
      <c r="D123" s="95"/>
      <c r="E123" s="89"/>
      <c r="F123" s="96" t="e">
        <f>D123/B123*100</f>
        <v>#DIV/0!</v>
      </c>
      <c r="G123" s="96" t="e">
        <f t="shared" si="13"/>
        <v>#DIV/0!</v>
      </c>
      <c r="H123" s="94">
        <f t="shared" si="17"/>
        <v>0</v>
      </c>
      <c r="I123" s="94">
        <f t="shared" si="15"/>
        <v>0</v>
      </c>
      <c r="K123" s="153"/>
      <c r="L123" s="91"/>
    </row>
    <row r="124" spans="1:12" s="104" customFormat="1" ht="18.75" hidden="1">
      <c r="A124" s="92" t="s">
        <v>49</v>
      </c>
      <c r="B124" s="139"/>
      <c r="C124" s="94"/>
      <c r="D124" s="95"/>
      <c r="E124" s="89"/>
      <c r="F124" s="96" t="e">
        <f>D124/B124*100</f>
        <v>#DIV/0!</v>
      </c>
      <c r="G124" s="96" t="e">
        <f t="shared" si="13"/>
        <v>#DIV/0!</v>
      </c>
      <c r="H124" s="94">
        <f t="shared" si="17"/>
        <v>0</v>
      </c>
      <c r="I124" s="94">
        <f t="shared" si="15"/>
        <v>0</v>
      </c>
      <c r="K124" s="153"/>
      <c r="L124" s="91"/>
    </row>
    <row r="125" spans="1:12" s="102" customFormat="1" ht="37.5">
      <c r="A125" s="97" t="s">
        <v>95</v>
      </c>
      <c r="B125" s="142">
        <v>50723.5</v>
      </c>
      <c r="C125" s="98">
        <f>45511.3+17000-4000</f>
        <v>58511.3</v>
      </c>
      <c r="D125" s="99">
        <f>3529.6+2264.3+1265.3+2996.5+533.1+738.7+2380.2+1722.3+1049.4+1874.1+1476.2+1455.5+94.4+1416+1268.6+1913.6+457.2+1108.2+2510.4+39.4+1337.2+1221+3120.4+2083.6+2630.6+1941.5+3537.3+439.6+1361.8-39.4+9601.4</f>
        <v>57328.00000000001</v>
      </c>
      <c r="E125" s="101">
        <f>D125/D107*100</f>
        <v>11.218483727836706</v>
      </c>
      <c r="F125" s="89">
        <f t="shared" si="16"/>
        <v>113.02059203327848</v>
      </c>
      <c r="G125" s="89">
        <f t="shared" si="13"/>
        <v>97.97765559814943</v>
      </c>
      <c r="H125" s="90">
        <f t="shared" si="17"/>
        <v>-6604.500000000007</v>
      </c>
      <c r="I125" s="90">
        <f t="shared" si="15"/>
        <v>1183.2999999999956</v>
      </c>
      <c r="K125" s="153"/>
      <c r="L125" s="91"/>
    </row>
    <row r="126" spans="1:12" s="102" customFormat="1" ht="18.75">
      <c r="A126" s="97" t="s">
        <v>91</v>
      </c>
      <c r="B126" s="142">
        <f>685+10</f>
        <v>695</v>
      </c>
      <c r="C126" s="98">
        <v>700</v>
      </c>
      <c r="D126" s="99">
        <f>9.6+1.5</f>
        <v>11.1</v>
      </c>
      <c r="E126" s="101">
        <f>D126/D107*100</f>
        <v>0.0021721526894185636</v>
      </c>
      <c r="F126" s="89">
        <f t="shared" si="16"/>
        <v>1.5971223021582732</v>
      </c>
      <c r="G126" s="89">
        <f t="shared" si="13"/>
        <v>1.5857142857142859</v>
      </c>
      <c r="H126" s="90">
        <f t="shared" si="17"/>
        <v>683.9</v>
      </c>
      <c r="I126" s="90">
        <f t="shared" si="15"/>
        <v>688.9</v>
      </c>
      <c r="K126" s="153"/>
      <c r="L126" s="91"/>
    </row>
    <row r="127" spans="1:17" s="102" customFormat="1" ht="37.5">
      <c r="A127" s="97" t="s">
        <v>100</v>
      </c>
      <c r="B127" s="142">
        <f>200+250</f>
        <v>450</v>
      </c>
      <c r="C127" s="98">
        <f>200+250</f>
        <v>450</v>
      </c>
      <c r="D127" s="99">
        <f>63.1+15.9+49.6+42.2+10.6</f>
        <v>181.4</v>
      </c>
      <c r="E127" s="101">
        <f>D127/D107*100</f>
        <v>0.03549806287031779</v>
      </c>
      <c r="F127" s="89">
        <f t="shared" si="16"/>
        <v>40.31111111111112</v>
      </c>
      <c r="G127" s="89">
        <f t="shared" si="13"/>
        <v>40.31111111111112</v>
      </c>
      <c r="H127" s="90">
        <f t="shared" si="17"/>
        <v>268.6</v>
      </c>
      <c r="I127" s="90">
        <f t="shared" si="15"/>
        <v>268.6</v>
      </c>
      <c r="K127" s="153"/>
      <c r="L127" s="91"/>
      <c r="Q127" s="91"/>
    </row>
    <row r="128" spans="1:17" s="102" customFormat="1" ht="37.5">
      <c r="A128" s="97" t="s">
        <v>85</v>
      </c>
      <c r="B128" s="142">
        <v>111.1</v>
      </c>
      <c r="C128" s="98">
        <f>111.1</f>
        <v>111.1</v>
      </c>
      <c r="D128" s="99">
        <f>34.5+22.7</f>
        <v>57.2</v>
      </c>
      <c r="E128" s="101">
        <f>D128/D107*100</f>
        <v>0.011193435480607373</v>
      </c>
      <c r="F128" s="89">
        <f t="shared" si="16"/>
        <v>51.48514851485149</v>
      </c>
      <c r="G128" s="89">
        <f t="shared" si="13"/>
        <v>51.48514851485149</v>
      </c>
      <c r="H128" s="90">
        <f t="shared" si="17"/>
        <v>53.89999999999999</v>
      </c>
      <c r="I128" s="90">
        <f t="shared" si="15"/>
        <v>53.89999999999999</v>
      </c>
      <c r="K128" s="153"/>
      <c r="L128" s="91"/>
      <c r="Q128" s="91"/>
    </row>
    <row r="129" spans="1:12" s="102" customFormat="1" ht="18.75" hidden="1">
      <c r="A129" s="100" t="s">
        <v>83</v>
      </c>
      <c r="B129" s="140"/>
      <c r="C129" s="98"/>
      <c r="D129" s="99"/>
      <c r="E129" s="101">
        <f>D129/D108*100</f>
        <v>0</v>
      </c>
      <c r="F129" s="89" t="e">
        <f t="shared" si="16"/>
        <v>#DIV/0!</v>
      </c>
      <c r="G129" s="89" t="e">
        <f t="shared" si="13"/>
        <v>#DIV/0!</v>
      </c>
      <c r="H129" s="90">
        <f t="shared" si="17"/>
        <v>0</v>
      </c>
      <c r="I129" s="90">
        <f t="shared" si="15"/>
        <v>0</v>
      </c>
      <c r="K129" s="153"/>
      <c r="L129" s="91"/>
    </row>
    <row r="130" spans="1:17" s="102" customFormat="1" ht="37.5">
      <c r="A130" s="97" t="s">
        <v>57</v>
      </c>
      <c r="B130" s="142">
        <f>879.4+25.3-7.9</f>
        <v>896.8</v>
      </c>
      <c r="C130" s="98">
        <v>942</v>
      </c>
      <c r="D130" s="99">
        <f>7+4.2+0.1+12.3+0.2+7.1+17.8+14.9+1.7+0.1+7.4+7+2.7+3.7+7.1+5.3+31.3+16.4+2.5+1.7+26.7+0.1+13.8+0.1+2.9+6.5+0.6+7+4.8+0.1+17.3+0.5+7.6+29.1+0.2+0.1+7.4+1+0.1+0.2+0.1+0.4+7.4+2.8+0.8+6.9+26.7+15.1+8.8+14.7+0.1+0.2+9.7+46+7.9+0.3+150.5+1.5+9.6+7.4+8.1+7.7+48.5-0.1</f>
        <v>657.7</v>
      </c>
      <c r="E130" s="101">
        <f>D130/D107*100</f>
        <v>0.12870493908383687</v>
      </c>
      <c r="F130" s="89">
        <f t="shared" si="16"/>
        <v>73.3385370205174</v>
      </c>
      <c r="G130" s="89">
        <f t="shared" si="13"/>
        <v>69.81953290870489</v>
      </c>
      <c r="H130" s="90">
        <f t="shared" si="17"/>
        <v>239.0999999999999</v>
      </c>
      <c r="I130" s="90">
        <f t="shared" si="15"/>
        <v>284.29999999999995</v>
      </c>
      <c r="K130" s="153"/>
      <c r="L130" s="91"/>
      <c r="Q130" s="91"/>
    </row>
    <row r="131" spans="1:17" s="103" customFormat="1" ht="18.75">
      <c r="A131" s="92" t="s">
        <v>88</v>
      </c>
      <c r="B131" s="93">
        <v>496.9</v>
      </c>
      <c r="C131" s="94">
        <v>510.8</v>
      </c>
      <c r="D131" s="95">
        <f>7+7.1+7+7.1+7+7+7.4+7.4+7.4+46+7.3+150.5+7.4+7.7</f>
        <v>283.29999999999995</v>
      </c>
      <c r="E131" s="96">
        <f>D131/D130*100</f>
        <v>43.07435000760224</v>
      </c>
      <c r="F131" s="96">
        <f>D131/B131*100</f>
        <v>57.01348359830951</v>
      </c>
      <c r="G131" s="96">
        <f t="shared" si="13"/>
        <v>55.462020360219256</v>
      </c>
      <c r="H131" s="94">
        <f t="shared" si="17"/>
        <v>213.60000000000002</v>
      </c>
      <c r="I131" s="94">
        <f t="shared" si="15"/>
        <v>227.50000000000006</v>
      </c>
      <c r="K131" s="153"/>
      <c r="L131" s="91"/>
      <c r="Q131" s="135"/>
    </row>
    <row r="132" spans="1:12" s="102" customFormat="1" ht="37.5">
      <c r="A132" s="97" t="s">
        <v>103</v>
      </c>
      <c r="B132" s="142">
        <f>395+45</f>
        <v>440</v>
      </c>
      <c r="C132" s="98">
        <v>485</v>
      </c>
      <c r="D132" s="99">
        <f>25+30+160</f>
        <v>215</v>
      </c>
      <c r="E132" s="101">
        <f>D132/D107*100</f>
        <v>0.04207322776801722</v>
      </c>
      <c r="F132" s="89">
        <f t="shared" si="16"/>
        <v>48.86363636363637</v>
      </c>
      <c r="G132" s="89">
        <f t="shared" si="13"/>
        <v>44.329896907216494</v>
      </c>
      <c r="H132" s="90">
        <f t="shared" si="17"/>
        <v>225</v>
      </c>
      <c r="I132" s="90">
        <f t="shared" si="15"/>
        <v>270</v>
      </c>
      <c r="K132" s="153"/>
      <c r="L132" s="91"/>
    </row>
    <row r="133" spans="1:12" s="103" customFormat="1" ht="18.75" hidden="1">
      <c r="A133" s="100" t="s">
        <v>43</v>
      </c>
      <c r="B133" s="139"/>
      <c r="C133" s="94"/>
      <c r="D133" s="95"/>
      <c r="E133" s="96"/>
      <c r="F133" s="96" t="e">
        <f>D133/B133*100</f>
        <v>#DIV/0!</v>
      </c>
      <c r="G133" s="96" t="e">
        <f t="shared" si="13"/>
        <v>#DIV/0!</v>
      </c>
      <c r="H133" s="94">
        <f t="shared" si="17"/>
        <v>0</v>
      </c>
      <c r="I133" s="94">
        <f t="shared" si="15"/>
        <v>0</v>
      </c>
      <c r="K133" s="153"/>
      <c r="L133" s="91"/>
    </row>
    <row r="134" spans="1:12" s="102" customFormat="1" ht="35.25" customHeight="1" hidden="1">
      <c r="A134" s="97" t="s">
        <v>102</v>
      </c>
      <c r="B134" s="140"/>
      <c r="C134" s="98"/>
      <c r="D134" s="99"/>
      <c r="E134" s="101">
        <f>D134/D107*100</f>
        <v>0</v>
      </c>
      <c r="F134" s="89" t="e">
        <f t="shared" si="16"/>
        <v>#DIV/0!</v>
      </c>
      <c r="G134" s="89" t="e">
        <f t="shared" si="13"/>
        <v>#DIV/0!</v>
      </c>
      <c r="H134" s="90">
        <f t="shared" si="17"/>
        <v>0</v>
      </c>
      <c r="I134" s="90">
        <f>C134-D134</f>
        <v>0</v>
      </c>
      <c r="K134" s="153"/>
      <c r="L134" s="91"/>
    </row>
    <row r="135" spans="1:12" s="102" customFormat="1" ht="21.75" customHeight="1" hidden="1">
      <c r="A135" s="97" t="s">
        <v>101</v>
      </c>
      <c r="B135" s="140"/>
      <c r="C135" s="98"/>
      <c r="D135" s="99"/>
      <c r="E135" s="101">
        <f>D135/D107*100</f>
        <v>0</v>
      </c>
      <c r="F135" s="89" t="e">
        <f t="shared" si="16"/>
        <v>#DIV/0!</v>
      </c>
      <c r="G135" s="89" t="e">
        <f t="shared" si="13"/>
        <v>#DIV/0!</v>
      </c>
      <c r="H135" s="90">
        <f t="shared" si="17"/>
        <v>0</v>
      </c>
      <c r="I135" s="90">
        <f t="shared" si="15"/>
        <v>0</v>
      </c>
      <c r="K135" s="153"/>
      <c r="L135" s="91"/>
    </row>
    <row r="136" spans="1:12" s="102" customFormat="1" ht="35.25" customHeight="1">
      <c r="A136" s="97" t="s">
        <v>87</v>
      </c>
      <c r="B136" s="142">
        <f>315+35</f>
        <v>350</v>
      </c>
      <c r="C136" s="98">
        <f>383.2+1100</f>
        <v>1483.2</v>
      </c>
      <c r="D136" s="99">
        <f>2.9+1.5+9.7+8.2+0.2-0.4+16+13.6+102.3+20.9+65+5.6+39.4+51.1+16.3</f>
        <v>352.3</v>
      </c>
      <c r="E136" s="101">
        <f>D136/D107*100</f>
        <v>0.0689413867101045</v>
      </c>
      <c r="F136" s="89">
        <f t="shared" si="16"/>
        <v>100.65714285714287</v>
      </c>
      <c r="G136" s="89">
        <f t="shared" si="13"/>
        <v>23.752696871628913</v>
      </c>
      <c r="H136" s="90">
        <f t="shared" si="17"/>
        <v>-2.3000000000000114</v>
      </c>
      <c r="I136" s="90">
        <f t="shared" si="15"/>
        <v>1130.9</v>
      </c>
      <c r="K136" s="153"/>
      <c r="L136" s="91"/>
    </row>
    <row r="137" spans="1:12" s="102" customFormat="1" ht="39" customHeight="1">
      <c r="A137" s="97" t="s">
        <v>54</v>
      </c>
      <c r="B137" s="142">
        <f>280+40</f>
        <v>320</v>
      </c>
      <c r="C137" s="98">
        <v>350</v>
      </c>
      <c r="D137" s="99">
        <f>3.7+1.9+30+0.6+12.1+11.2+3.6+6+7.1+2.2+29.2+3.8+54.6+2.4+2.8</f>
        <v>171.20000000000002</v>
      </c>
      <c r="E137" s="101">
        <f>D137/D107*100</f>
        <v>0.03350203066923046</v>
      </c>
      <c r="F137" s="89">
        <f t="shared" si="16"/>
        <v>53.5</v>
      </c>
      <c r="G137" s="89">
        <f t="shared" si="13"/>
        <v>48.91428571428572</v>
      </c>
      <c r="H137" s="90">
        <f t="shared" si="17"/>
        <v>148.79999999999998</v>
      </c>
      <c r="I137" s="90">
        <f t="shared" si="15"/>
        <v>178.79999999999998</v>
      </c>
      <c r="K137" s="153"/>
      <c r="L137" s="91"/>
    </row>
    <row r="138" spans="1:12" s="103" customFormat="1" ht="18.75">
      <c r="A138" s="92" t="s">
        <v>88</v>
      </c>
      <c r="B138" s="93">
        <f>86+12</f>
        <v>98</v>
      </c>
      <c r="C138" s="94">
        <v>110</v>
      </c>
      <c r="D138" s="95">
        <f>3.7+1.9+12.1+11.1+3.6+6+7.1+2.2+3.8+2.4+2.8</f>
        <v>56.699999999999996</v>
      </c>
      <c r="E138" s="96"/>
      <c r="F138" s="89">
        <f>D138/B138*100</f>
        <v>57.857142857142854</v>
      </c>
      <c r="G138" s="96">
        <f>D138/C138*100</f>
        <v>51.54545454545454</v>
      </c>
      <c r="H138" s="94">
        <f>B138-D138</f>
        <v>41.300000000000004</v>
      </c>
      <c r="I138" s="94">
        <f>C138-D138</f>
        <v>53.300000000000004</v>
      </c>
      <c r="K138" s="153"/>
      <c r="L138" s="91"/>
    </row>
    <row r="139" spans="1:12" s="102" customFormat="1" ht="32.25" customHeight="1">
      <c r="A139" s="97" t="s">
        <v>84</v>
      </c>
      <c r="B139" s="142">
        <f>501.5+55.5</f>
        <v>557</v>
      </c>
      <c r="C139" s="98">
        <v>607.7</v>
      </c>
      <c r="D139" s="99">
        <f>76+0.3+41+44+1.8+16.3+2.4+30+0.6+0.2+27.4+0.2+4.5-0.2+31.4+4.5+7.9+26.6+4.5+0.5+26.6+0.3+4.3+1.1+0.3+24+0.5+4.2+38.1+0.8+4.8+0.8+29.1+14.9+4.2+0.6+6+56.4+20.2+0.3+0.5+1.2</f>
        <v>559.1000000000003</v>
      </c>
      <c r="E139" s="101">
        <f>D139/D107*100</f>
        <v>0.10940996113999273</v>
      </c>
      <c r="F139" s="89">
        <f>D139/B139*100</f>
        <v>100.37701974865354</v>
      </c>
      <c r="G139" s="89">
        <f>D139/C139*100</f>
        <v>92.00263287806487</v>
      </c>
      <c r="H139" s="90">
        <f t="shared" si="17"/>
        <v>-2.10000000000025</v>
      </c>
      <c r="I139" s="90">
        <f t="shared" si="15"/>
        <v>48.599999999999795</v>
      </c>
      <c r="K139" s="153"/>
      <c r="L139" s="91"/>
    </row>
    <row r="140" spans="1:12" s="103" customFormat="1" ht="18.75">
      <c r="A140" s="92" t="s">
        <v>25</v>
      </c>
      <c r="B140" s="93">
        <f>402+46.1</f>
        <v>448.1</v>
      </c>
      <c r="C140" s="94">
        <v>489.6</v>
      </c>
      <c r="D140" s="95">
        <f>76+37.6+44+1.2+0.7+30+27.4+30.6+0.6+26+0.5+26+0.3+24+24+0.5+0.8+24+14.9+0.7+55.8+20.2</f>
        <v>465.79999999999995</v>
      </c>
      <c r="E140" s="96">
        <f>D140/D139*100</f>
        <v>83.3124664639599</v>
      </c>
      <c r="F140" s="96">
        <f t="shared" si="16"/>
        <v>103.9500111582236</v>
      </c>
      <c r="G140" s="96">
        <f>D140/C140*100</f>
        <v>95.13888888888887</v>
      </c>
      <c r="H140" s="94">
        <f t="shared" si="17"/>
        <v>-17.699999999999932</v>
      </c>
      <c r="I140" s="94">
        <f t="shared" si="15"/>
        <v>23.800000000000068</v>
      </c>
      <c r="K140" s="153"/>
      <c r="L140" s="91"/>
    </row>
    <row r="141" spans="1:12" s="102" customFormat="1" ht="18.75">
      <c r="A141" s="97" t="s">
        <v>96</v>
      </c>
      <c r="B141" s="142">
        <f>1505.2+128.9</f>
        <v>1634.1000000000001</v>
      </c>
      <c r="C141" s="98">
        <v>1760</v>
      </c>
      <c r="D141" s="99">
        <f>107.3+0.4+30.4+78.2+4.1+36.9+117.9+50.5+112.6+5.2+52.3+10.5+76.8-0.2+10.4+82.9+84+50.5+35.7+3.4+90.4+1.3+74.9+86.3+10.5+56.2+19.4+57.2+47.6+4.6+22+60.6+12.7+0.3+40.5+65.1+52.3+8.1</f>
        <v>1659.7999999999997</v>
      </c>
      <c r="E141" s="101">
        <f>D141/D107*100</f>
        <v>0.3248053183690929</v>
      </c>
      <c r="F141" s="89">
        <f t="shared" si="16"/>
        <v>101.57273116700323</v>
      </c>
      <c r="G141" s="89">
        <f t="shared" si="13"/>
        <v>94.30681818181816</v>
      </c>
      <c r="H141" s="90">
        <f t="shared" si="17"/>
        <v>-25.69999999999959</v>
      </c>
      <c r="I141" s="90">
        <f t="shared" si="15"/>
        <v>100.20000000000027</v>
      </c>
      <c r="J141" s="144"/>
      <c r="K141" s="153"/>
      <c r="L141" s="91"/>
    </row>
    <row r="142" spans="1:12" s="103" customFormat="1" ht="18.75">
      <c r="A142" s="100" t="s">
        <v>43</v>
      </c>
      <c r="B142" s="93">
        <f>1218.7+109.6</f>
        <v>1328.3</v>
      </c>
      <c r="C142" s="94">
        <v>1437.4</v>
      </c>
      <c r="D142" s="95">
        <f>107.3+25.4+76+34+76.6+47.2+83.8+4.5+35.4+76.8-0.2+60.7+81+50.4+90.4+52.9+85+10.5+37.7+14.2+56.6+47.6+60.4+11.7+38.4+60.6+33.6</f>
        <v>1358.4999999999998</v>
      </c>
      <c r="E142" s="96">
        <f>D142/D141*100</f>
        <v>81.84721050729003</v>
      </c>
      <c r="F142" s="96">
        <f aca="true" t="shared" si="18" ref="F142:F151">D142/B142*100</f>
        <v>102.27358277497551</v>
      </c>
      <c r="G142" s="96">
        <f t="shared" si="13"/>
        <v>94.51092249895643</v>
      </c>
      <c r="H142" s="94">
        <f t="shared" si="17"/>
        <v>-30.199999999999818</v>
      </c>
      <c r="I142" s="94">
        <f t="shared" si="15"/>
        <v>78.90000000000032</v>
      </c>
      <c r="J142" s="145"/>
      <c r="K142" s="153"/>
      <c r="L142" s="91"/>
    </row>
    <row r="143" spans="1:13" s="103" customFormat="1" ht="18.75">
      <c r="A143" s="92" t="s">
        <v>25</v>
      </c>
      <c r="B143" s="93">
        <f>31.3+3.8</f>
        <v>35.1</v>
      </c>
      <c r="C143" s="94">
        <v>40</v>
      </c>
      <c r="D143" s="95">
        <f>0.4+4.9+0.7+4.7+3.3+0.4+0.7+0.6+0.1+0.1+3.9+1+1.1+1.9+5.5</f>
        <v>29.299999999999997</v>
      </c>
      <c r="E143" s="96">
        <f>D143/D141*100</f>
        <v>1.765272924448729</v>
      </c>
      <c r="F143" s="96">
        <f t="shared" si="18"/>
        <v>83.47578347578346</v>
      </c>
      <c r="G143" s="96">
        <f>D143/C143*100</f>
        <v>73.25</v>
      </c>
      <c r="H143" s="94">
        <f t="shared" si="17"/>
        <v>5.800000000000004</v>
      </c>
      <c r="I143" s="94">
        <f t="shared" si="15"/>
        <v>10.700000000000003</v>
      </c>
      <c r="J143" s="145"/>
      <c r="K143" s="153"/>
      <c r="L143" s="91"/>
      <c r="M143" s="135"/>
    </row>
    <row r="144" spans="1:12" s="102" customFormat="1" ht="33.75" customHeight="1">
      <c r="A144" s="105" t="s">
        <v>56</v>
      </c>
      <c r="B144" s="142">
        <f>90+7.5+527</f>
        <v>624.5</v>
      </c>
      <c r="C144" s="98">
        <f>90+534.5+411.5</f>
        <v>1036</v>
      </c>
      <c r="D144" s="99">
        <f>7.5+527+90</f>
        <v>624.5</v>
      </c>
      <c r="E144" s="101">
        <f>D144/D107*100</f>
        <v>0.1222080499587291</v>
      </c>
      <c r="F144" s="89">
        <f t="shared" si="18"/>
        <v>100</v>
      </c>
      <c r="G144" s="89">
        <f t="shared" si="13"/>
        <v>60.27992277992278</v>
      </c>
      <c r="H144" s="90">
        <f t="shared" si="17"/>
        <v>0</v>
      </c>
      <c r="I144" s="90">
        <f t="shared" si="15"/>
        <v>411.5</v>
      </c>
      <c r="J144" s="144"/>
      <c r="K144" s="153"/>
      <c r="L144" s="91"/>
    </row>
    <row r="145" spans="1:12" s="102" customFormat="1" ht="18.75" hidden="1">
      <c r="A145" s="105" t="s">
        <v>92</v>
      </c>
      <c r="B145" s="140"/>
      <c r="C145" s="98"/>
      <c r="D145" s="99"/>
      <c r="E145" s="101">
        <f>D145/D107*100</f>
        <v>0</v>
      </c>
      <c r="F145" s="89" t="e">
        <f>D145/B145*100</f>
        <v>#DIV/0!</v>
      </c>
      <c r="G145" s="89" t="e">
        <f t="shared" si="13"/>
        <v>#DIV/0!</v>
      </c>
      <c r="H145" s="90">
        <f t="shared" si="17"/>
        <v>0</v>
      </c>
      <c r="I145" s="90">
        <f t="shared" si="15"/>
        <v>0</v>
      </c>
      <c r="J145" s="144"/>
      <c r="K145" s="153"/>
      <c r="L145" s="91"/>
    </row>
    <row r="146" spans="1:12" s="102" customFormat="1" ht="18.75">
      <c r="A146" s="105" t="s">
        <v>97</v>
      </c>
      <c r="B146" s="142">
        <f>63378.3+215.3+2857.1+1855.9+14000+1552.3</f>
        <v>83858.90000000001</v>
      </c>
      <c r="C146" s="98">
        <f>56447.1-100+1500-3000+10865.4+0.1+56196.1-25136.7</f>
        <v>96772.00000000001</v>
      </c>
      <c r="D146" s="99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+2254+1751.3+90.1+449.8+362.8+66.1+2626.6+3227.5+978.5+1505.4+190.6+57.7+719.7+179.5+52.9+281.5+131.1+699.7+138.1</f>
        <v>70538.70000000001</v>
      </c>
      <c r="E146" s="101">
        <f>D146/D107*100</f>
        <v>13.80367810027831</v>
      </c>
      <c r="F146" s="89">
        <f t="shared" si="18"/>
        <v>84.11593760471459</v>
      </c>
      <c r="G146" s="89">
        <f t="shared" si="13"/>
        <v>72.89164221055677</v>
      </c>
      <c r="H146" s="90">
        <f t="shared" si="17"/>
        <v>13320.199999999997</v>
      </c>
      <c r="I146" s="90">
        <f t="shared" si="15"/>
        <v>26233.300000000003</v>
      </c>
      <c r="J146" s="144"/>
      <c r="K146" s="153"/>
      <c r="L146" s="91"/>
    </row>
    <row r="147" spans="1:12" s="102" customFormat="1" ht="18.75" hidden="1">
      <c r="A147" s="105" t="s">
        <v>86</v>
      </c>
      <c r="B147" s="140"/>
      <c r="C147" s="98"/>
      <c r="D147" s="99"/>
      <c r="E147" s="101">
        <f>D147/D107*100</f>
        <v>0</v>
      </c>
      <c r="F147" s="89" t="e">
        <f t="shared" si="18"/>
        <v>#DIV/0!</v>
      </c>
      <c r="G147" s="89" t="e">
        <f t="shared" si="13"/>
        <v>#DIV/0!</v>
      </c>
      <c r="H147" s="90">
        <f t="shared" si="17"/>
        <v>0</v>
      </c>
      <c r="I147" s="90">
        <f t="shared" si="15"/>
        <v>0</v>
      </c>
      <c r="J147" s="144"/>
      <c r="K147" s="153"/>
      <c r="L147" s="91"/>
    </row>
    <row r="148" spans="1:12" s="102" customFormat="1" ht="37.5" hidden="1">
      <c r="A148" s="105" t="s">
        <v>104</v>
      </c>
      <c r="B148" s="140"/>
      <c r="C148" s="98"/>
      <c r="D148" s="99"/>
      <c r="E148" s="101">
        <f>D148/D109*100</f>
        <v>0</v>
      </c>
      <c r="F148" s="89" t="e">
        <f>D148/B148*100</f>
        <v>#DIV/0!</v>
      </c>
      <c r="G148" s="89" t="e">
        <f>D148/C148*100</f>
        <v>#DIV/0!</v>
      </c>
      <c r="H148" s="90">
        <f>B148-D148</f>
        <v>0</v>
      </c>
      <c r="I148" s="90">
        <f>C148-D148</f>
        <v>0</v>
      </c>
      <c r="J148" s="144"/>
      <c r="K148" s="153"/>
      <c r="L148" s="91"/>
    </row>
    <row r="149" spans="1:12" s="102" customFormat="1" ht="18.75">
      <c r="A149" s="97" t="s">
        <v>98</v>
      </c>
      <c r="B149" s="142">
        <v>128.19706</v>
      </c>
      <c r="C149" s="98">
        <v>162.3</v>
      </c>
      <c r="D149" s="99">
        <f>46.4+43+38.8+34.1</f>
        <v>162.29999999999998</v>
      </c>
      <c r="E149" s="101">
        <f>D149/D107*100</f>
        <v>0.03176039472906602</v>
      </c>
      <c r="F149" s="89">
        <f t="shared" si="18"/>
        <v>126.60196731500706</v>
      </c>
      <c r="G149" s="89">
        <f t="shared" si="13"/>
        <v>99.99999999999997</v>
      </c>
      <c r="H149" s="90">
        <f t="shared" si="17"/>
        <v>-34.10293999999999</v>
      </c>
      <c r="I149" s="90">
        <f t="shared" si="15"/>
        <v>0</v>
      </c>
      <c r="J149" s="144"/>
      <c r="K149" s="153"/>
      <c r="L149" s="91"/>
    </row>
    <row r="150" spans="1:12" s="102" customFormat="1" ht="18" customHeight="1">
      <c r="A150" s="97" t="s">
        <v>77</v>
      </c>
      <c r="B150" s="142">
        <f>11221.5+372</f>
        <v>11593.5</v>
      </c>
      <c r="C150" s="98">
        <v>11593.5</v>
      </c>
      <c r="D150" s="99">
        <f>791.9+575.3+777.6+830.9+722.1+47.7+657.7+821-47.6+744.9+750.8+1599.5+613.3+554.9+554.9+291.8+0.1+58.4+1064.6+139.4+44.3</f>
        <v>11593.499999999996</v>
      </c>
      <c r="E150" s="101">
        <f>D150/D107*100</f>
        <v>2.268725423853523</v>
      </c>
      <c r="F150" s="89">
        <f t="shared" si="18"/>
        <v>99.99999999999997</v>
      </c>
      <c r="G150" s="89">
        <f t="shared" si="13"/>
        <v>99.99999999999997</v>
      </c>
      <c r="H150" s="90">
        <f t="shared" si="17"/>
        <v>0</v>
      </c>
      <c r="I150" s="90">
        <f t="shared" si="15"/>
        <v>0</v>
      </c>
      <c r="J150" s="144"/>
      <c r="K150" s="153"/>
      <c r="L150" s="91"/>
    </row>
    <row r="151" spans="1:12" s="102" customFormat="1" ht="19.5" customHeight="1">
      <c r="A151" s="97" t="s">
        <v>50</v>
      </c>
      <c r="B151" s="142">
        <f>289360.2-1612.3-1000-1425.5-646.6-194.6+6232.7+2434+27883.6-1642.3-2049.5+567</f>
        <v>317906.70000000007</v>
      </c>
      <c r="C151" s="98">
        <f>322609.9+35086.9</f>
        <v>357696.80000000005</v>
      </c>
      <c r="D151" s="99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+981+537+4749.9+21185.8+2430.9+5602+253.8+2943.4+778.2+4071.9+1419.6+1550+441.7+9172.7+1220.7+368.7+2207.6+366.9+9784.3+4291.7+2988.5+1996.3+603.4+1245.5+1538.1+1459+3109.9+1096.7+5444.8+607.4+873.6+582+324.6+82.5+520.7+137.1+428.6+3275.7+519+1159.5+13966.6+3110.7+4340.2+1407.2+10351.3+3.1+561.9+2491+301.2</f>
        <v>318973.30000000005</v>
      </c>
      <c r="E151" s="101">
        <f>D151/D107*100</f>
        <v>62.41970373402832</v>
      </c>
      <c r="F151" s="89">
        <f t="shared" si="18"/>
        <v>100.33550724159007</v>
      </c>
      <c r="G151" s="89">
        <f t="shared" si="13"/>
        <v>89.17421123141163</v>
      </c>
      <c r="H151" s="90">
        <f t="shared" si="17"/>
        <v>-1066.5999999999767</v>
      </c>
      <c r="I151" s="90">
        <f>C151-D151</f>
        <v>38723.5</v>
      </c>
      <c r="K151" s="153"/>
      <c r="L151" s="91"/>
    </row>
    <row r="152" spans="1:12" s="102" customFormat="1" ht="18.75">
      <c r="A152" s="97" t="s">
        <v>99</v>
      </c>
      <c r="B152" s="142">
        <f>35193.4+3519.3</f>
        <v>38712.700000000004</v>
      </c>
      <c r="C152" s="98">
        <v>42232</v>
      </c>
      <c r="D152" s="99">
        <f>819+819+819.1+1062.3+1173.1+1173.1+1173.2+1173.1+1173.1+1173.2+1173.1+1173.1+1173.2+1173.1+1173.1+1173.1+1173.1+1173.1+1173.1+1173.1+1173.1+1173.1+1173.1+1173.1+1173.1+1173.1+1173.1+1173.1+1173.1+1173.1+1173.1+1173.1+1173.1+1173.1+1173.1+1173.1</f>
        <v>41058.89999999997</v>
      </c>
      <c r="E152" s="101">
        <f>D152/D107*100</f>
        <v>8.03479279815926</v>
      </c>
      <c r="F152" s="89">
        <f t="shared" si="16"/>
        <v>106.06054343923303</v>
      </c>
      <c r="G152" s="89">
        <f t="shared" si="13"/>
        <v>97.22224853191885</v>
      </c>
      <c r="H152" s="90">
        <f t="shared" si="17"/>
        <v>-2346.199999999968</v>
      </c>
      <c r="I152" s="90">
        <f t="shared" si="15"/>
        <v>1173.1000000000276</v>
      </c>
      <c r="K152" s="153"/>
      <c r="L152" s="91"/>
    </row>
    <row r="153" spans="1:12" s="2" customFormat="1" ht="19.5" thickBot="1">
      <c r="A153" s="26" t="s">
        <v>29</v>
      </c>
      <c r="B153" s="143"/>
      <c r="C153" s="60"/>
      <c r="D153" s="41">
        <f>D43+D69+D72+D77+D79+D87+D102+D107+D100+D84+D98</f>
        <v>523320.80000000005</v>
      </c>
      <c r="E153" s="14"/>
      <c r="F153" s="14"/>
      <c r="G153" s="6"/>
      <c r="H153" s="49"/>
      <c r="I153" s="41"/>
      <c r="K153" s="153"/>
      <c r="L153" s="30"/>
    </row>
    <row r="154" spans="1:12" ht="19.5" thickBot="1">
      <c r="A154" s="11" t="s">
        <v>18</v>
      </c>
      <c r="B154" s="37">
        <f>B6+B18+B33+B43+B51+B59+B69+B72+B77+B79+B87+B90+B95+B102+B107+B100+B84+B98+B45</f>
        <v>1957747.0550600004</v>
      </c>
      <c r="C154" s="37">
        <f>C6+C18+C33+C43+C51+C59+C69+C72+C77+C79+C87+C90+C95+C102+C107+C100+C84+C98+C45</f>
        <v>2209733.3</v>
      </c>
      <c r="D154" s="37">
        <f>D6+D18+D33+D43+D51+D59+D69+D72+D77+D79+D87+D90+D95+D102+D107+D100+D84+D98+D45</f>
        <v>1959049.1000000003</v>
      </c>
      <c r="E154" s="25">
        <v>100</v>
      </c>
      <c r="F154" s="3">
        <f>D154/B154*100</f>
        <v>100.06650731189377</v>
      </c>
      <c r="G154" s="3">
        <f aca="true" t="shared" si="19" ref="G154:G160">D154/C154*100</f>
        <v>88.6554544840321</v>
      </c>
      <c r="H154" s="37">
        <f aca="true" t="shared" si="20" ref="H154:H160">B154-D154</f>
        <v>-1302.0449399999343</v>
      </c>
      <c r="I154" s="37">
        <f aca="true" t="shared" si="21" ref="I154:I160">C154-D154</f>
        <v>250684.1999999995</v>
      </c>
      <c r="K154" s="172"/>
      <c r="L154" s="157"/>
    </row>
    <row r="155" spans="1:12" ht="18.75">
      <c r="A155" s="15" t="s">
        <v>5</v>
      </c>
      <c r="B155" s="48">
        <f>B8+B20+B34+B52+B60+B91+B115+B120+B46+B142+B133+B103</f>
        <v>827128.6000000001</v>
      </c>
      <c r="C155" s="48">
        <f>C8+C20+C34+C52+C60+C91+C115+C120+C46+C142+C133+C103</f>
        <v>895443.4000000001</v>
      </c>
      <c r="D155" s="48">
        <f>D8+D20+D34+D52+D60+D91+D115+D120+D46+D142+D133+D103</f>
        <v>839384.81</v>
      </c>
      <c r="E155" s="6">
        <f>D155/D154*100</f>
        <v>42.84654274361985</v>
      </c>
      <c r="F155" s="6">
        <f aca="true" t="shared" si="22" ref="F155:F160">D155/B155*100</f>
        <v>101.48177804515525</v>
      </c>
      <c r="G155" s="6">
        <f t="shared" si="19"/>
        <v>93.73957192604244</v>
      </c>
      <c r="H155" s="49">
        <f t="shared" si="20"/>
        <v>-12256.209999999963</v>
      </c>
      <c r="I155" s="59">
        <f t="shared" si="21"/>
        <v>56058.590000000084</v>
      </c>
      <c r="K155" s="153"/>
      <c r="L155" s="157"/>
    </row>
    <row r="156" spans="1:12" ht="18.75">
      <c r="A156" s="15" t="s">
        <v>0</v>
      </c>
      <c r="B156" s="49">
        <f>B11+B23+B36+B55+B62+B92+B49+B143+B109+B112+B96+B140+B129</f>
        <v>93303.70000000003</v>
      </c>
      <c r="C156" s="49">
        <f>C11+C23+C36+C55+C62+C92+C49+C143+C109+C112+C96+C140+C129</f>
        <v>110092.19999999998</v>
      </c>
      <c r="D156" s="49">
        <f>D11+D23+D36+D55+D62+D92+D49+D143+D109+D112+D96+D140+D129</f>
        <v>90505.59999999999</v>
      </c>
      <c r="E156" s="6">
        <f>D156/D154*100</f>
        <v>4.619873999074345</v>
      </c>
      <c r="F156" s="6">
        <f t="shared" si="22"/>
        <v>97.00108355831544</v>
      </c>
      <c r="G156" s="6">
        <f t="shared" si="19"/>
        <v>82.20891216634784</v>
      </c>
      <c r="H156" s="49">
        <f>B156-D156</f>
        <v>2798.100000000035</v>
      </c>
      <c r="I156" s="59">
        <f t="shared" si="21"/>
        <v>19586.59999999999</v>
      </c>
      <c r="K156" s="153"/>
      <c r="L156" s="158"/>
    </row>
    <row r="157" spans="1:12" ht="18.75">
      <c r="A157" s="15" t="s">
        <v>1</v>
      </c>
      <c r="B157" s="48">
        <f>B22+B10+B54+B48+B61+B35+B124</f>
        <v>37772.6</v>
      </c>
      <c r="C157" s="48">
        <f>C22+C10+C54+C48+C61+C35+C124</f>
        <v>42614.700000000004</v>
      </c>
      <c r="D157" s="48">
        <f>D22+D10+D54+D48+D61+D35+D124</f>
        <v>35391.6</v>
      </c>
      <c r="E157" s="6">
        <f>D157/D154*100</f>
        <v>1.8065703406821194</v>
      </c>
      <c r="F157" s="6">
        <f t="shared" si="22"/>
        <v>93.69648898937325</v>
      </c>
      <c r="G157" s="6">
        <f t="shared" si="19"/>
        <v>83.05021506663192</v>
      </c>
      <c r="H157" s="49">
        <f t="shared" si="20"/>
        <v>2381</v>
      </c>
      <c r="I157" s="59">
        <f t="shared" si="21"/>
        <v>7223.100000000006</v>
      </c>
      <c r="K157" s="153"/>
      <c r="L157" s="157"/>
    </row>
    <row r="158" spans="1:12" ht="21" customHeight="1">
      <c r="A158" s="15" t="s">
        <v>14</v>
      </c>
      <c r="B158" s="48">
        <f>B12+B24+B104+B63+B38+B93+B131+B56+B138+B118</f>
        <v>27784.200000000004</v>
      </c>
      <c r="C158" s="48">
        <f>C12+C24+C104+C63+C38+C93+C131+C56+C138+C118</f>
        <v>29134.999999999996</v>
      </c>
      <c r="D158" s="48">
        <f>D12+D24+D104+D63+D38+D93+D131+D56+D138+D118</f>
        <v>26565.799999999996</v>
      </c>
      <c r="E158" s="6">
        <f>D158/D154*100</f>
        <v>1.356055853832351</v>
      </c>
      <c r="F158" s="6">
        <f t="shared" si="22"/>
        <v>95.61477386428254</v>
      </c>
      <c r="G158" s="6">
        <f t="shared" si="19"/>
        <v>91.18174017504718</v>
      </c>
      <c r="H158" s="49">
        <f>B158-D158</f>
        <v>1218.4000000000087</v>
      </c>
      <c r="I158" s="59">
        <f t="shared" si="21"/>
        <v>2569.2000000000007</v>
      </c>
      <c r="K158" s="153"/>
      <c r="L158" s="158"/>
    </row>
    <row r="159" spans="1:12" ht="18.75">
      <c r="A159" s="15" t="s">
        <v>2</v>
      </c>
      <c r="B159" s="48">
        <f>B9+B21+B47+B53+B123</f>
        <v>114.5</v>
      </c>
      <c r="C159" s="48">
        <f>C9+C21+C47+C53+C123</f>
        <v>114.48435</v>
      </c>
      <c r="D159" s="48">
        <f>D9+D21+D47+D53+D123</f>
        <v>101.89999999999998</v>
      </c>
      <c r="E159" s="6">
        <f>D159/D154*100</f>
        <v>0.005201503116996912</v>
      </c>
      <c r="F159" s="6">
        <f t="shared" si="22"/>
        <v>88.99563318777291</v>
      </c>
      <c r="G159" s="6">
        <f t="shared" si="19"/>
        <v>89.00779888255467</v>
      </c>
      <c r="H159" s="49">
        <f t="shared" si="20"/>
        <v>12.600000000000023</v>
      </c>
      <c r="I159" s="59">
        <f t="shared" si="21"/>
        <v>12.584350000000029</v>
      </c>
      <c r="K159" s="153"/>
      <c r="L159" s="157"/>
    </row>
    <row r="160" spans="1:12" ht="19.5" thickBot="1">
      <c r="A160" s="81" t="s">
        <v>27</v>
      </c>
      <c r="B160" s="61">
        <f>B154-B155-B156-B157-B158-B159</f>
        <v>971643.4550600003</v>
      </c>
      <c r="C160" s="61">
        <f>C154-C155-C156-C157-C158-C159</f>
        <v>1132333.5156499997</v>
      </c>
      <c r="D160" s="61">
        <f>D154-D155-D156-D157-D158-D159</f>
        <v>967099.3900000002</v>
      </c>
      <c r="E160" s="28">
        <f>D160/D154*100</f>
        <v>49.36575555967434</v>
      </c>
      <c r="F160" s="28">
        <f t="shared" si="22"/>
        <v>99.53233204666422</v>
      </c>
      <c r="G160" s="28">
        <f t="shared" si="19"/>
        <v>85.40764506514238</v>
      </c>
      <c r="H160" s="82">
        <f t="shared" si="20"/>
        <v>4544.065060000052</v>
      </c>
      <c r="I160" s="82">
        <f t="shared" si="21"/>
        <v>165234.12564999948</v>
      </c>
      <c r="K160" s="153"/>
      <c r="L160" s="158"/>
    </row>
    <row r="161" spans="7:8" ht="12.75">
      <c r="G161" s="159"/>
      <c r="H161" s="159"/>
    </row>
    <row r="162" spans="3:11" ht="12.75">
      <c r="C162" s="153"/>
      <c r="G162" s="159"/>
      <c r="H162" s="159"/>
      <c r="I162" s="159"/>
      <c r="K162" s="160"/>
    </row>
    <row r="163" spans="7:11" ht="12.75">
      <c r="G163" s="159"/>
      <c r="H163" s="159"/>
      <c r="K163" s="160"/>
    </row>
    <row r="164" spans="7:11" ht="12.75">
      <c r="G164" s="159"/>
      <c r="H164" s="159"/>
      <c r="K164" s="160"/>
    </row>
    <row r="165" spans="2:8" ht="12.75">
      <c r="B165" s="161"/>
      <c r="C165" s="161"/>
      <c r="D165" s="153"/>
      <c r="G165" s="159"/>
      <c r="H165" s="159"/>
    </row>
    <row r="166" spans="7:8" ht="12.75">
      <c r="G166" s="159"/>
      <c r="H166" s="159"/>
    </row>
    <row r="167" spans="2:8" ht="12.75">
      <c r="B167" s="161"/>
      <c r="C167" s="161"/>
      <c r="D167" s="161"/>
      <c r="G167" s="159"/>
      <c r="H167" s="159"/>
    </row>
    <row r="168" spans="2:8" ht="12.75">
      <c r="B168" s="161"/>
      <c r="G168" s="159"/>
      <c r="H168" s="159"/>
    </row>
    <row r="169" spans="2:8" ht="12.75">
      <c r="B169" s="161"/>
      <c r="C169" s="153"/>
      <c r="G169" s="159"/>
      <c r="H169" s="159"/>
    </row>
    <row r="170" spans="7:8" ht="12.75">
      <c r="G170" s="159"/>
      <c r="H170" s="159"/>
    </row>
    <row r="171" spans="7:8" ht="12.75">
      <c r="G171" s="159"/>
      <c r="H171" s="159"/>
    </row>
    <row r="172" spans="7:8" ht="12.75">
      <c r="G172" s="159"/>
      <c r="H172" s="159"/>
    </row>
    <row r="173" spans="7:8" ht="12.75">
      <c r="G173" s="159"/>
      <c r="H173" s="159"/>
    </row>
    <row r="174" spans="7:8" ht="12.75">
      <c r="G174" s="159"/>
      <c r="H174" s="159"/>
    </row>
    <row r="175" spans="3:8" ht="12.75">
      <c r="C175" s="153"/>
      <c r="G175" s="159"/>
      <c r="H175" s="159"/>
    </row>
    <row r="176" spans="7:8" ht="12.75">
      <c r="G176" s="159"/>
      <c r="H176" s="159"/>
    </row>
    <row r="177" spans="7:8" ht="12.75">
      <c r="G177" s="159"/>
      <c r="H177" s="159"/>
    </row>
    <row r="178" spans="7:8" ht="12.75">
      <c r="G178" s="159"/>
      <c r="H178" s="159"/>
    </row>
    <row r="179" spans="7:8" ht="12.75">
      <c r="G179" s="159"/>
      <c r="H179" s="159"/>
    </row>
    <row r="180" spans="7:8" ht="12.75">
      <c r="G180" s="159"/>
      <c r="H180" s="159"/>
    </row>
    <row r="181" spans="7:8" ht="12.75">
      <c r="G181" s="159"/>
      <c r="H181" s="159"/>
    </row>
    <row r="182" spans="7:8" ht="12.75">
      <c r="G182" s="159"/>
      <c r="H182" s="159"/>
    </row>
    <row r="183" spans="7:8" ht="12.75">
      <c r="G183" s="159"/>
      <c r="H183" s="159"/>
    </row>
    <row r="184" spans="7:8" ht="12.75">
      <c r="G184" s="159"/>
      <c r="H184" s="159"/>
    </row>
    <row r="185" spans="7:8" ht="12.75">
      <c r="G185" s="159"/>
      <c r="H185" s="159"/>
    </row>
    <row r="186" spans="7:8" ht="12.75">
      <c r="G186" s="159"/>
      <c r="H186" s="159"/>
    </row>
    <row r="187" spans="7:8" ht="12.75">
      <c r="G187" s="159"/>
      <c r="H187" s="159"/>
    </row>
    <row r="188" spans="7:8" ht="12.75">
      <c r="G188" s="159"/>
      <c r="H188" s="159"/>
    </row>
    <row r="189" spans="7:8" ht="12.75">
      <c r="G189" s="159"/>
      <c r="H189" s="159"/>
    </row>
    <row r="190" spans="7:8" ht="12.75">
      <c r="G190" s="159"/>
      <c r="H190" s="159"/>
    </row>
    <row r="191" spans="7:8" ht="12.75">
      <c r="G191" s="159"/>
      <c r="H191" s="159"/>
    </row>
    <row r="192" spans="7:8" ht="12.75">
      <c r="G192" s="159"/>
      <c r="H192" s="159"/>
    </row>
    <row r="193" spans="7:8" ht="12.75">
      <c r="G193" s="159"/>
      <c r="H193" s="159"/>
    </row>
    <row r="194" spans="7:8" ht="12.75">
      <c r="G194" s="159"/>
      <c r="H194" s="159"/>
    </row>
    <row r="195" spans="7:8" ht="12.75">
      <c r="G195" s="159"/>
      <c r="H195" s="159"/>
    </row>
    <row r="196" spans="7:8" ht="12.75">
      <c r="G196" s="159"/>
      <c r="H196" s="159"/>
    </row>
    <row r="197" spans="7:8" ht="12.75">
      <c r="G197" s="159"/>
      <c r="H197" s="159"/>
    </row>
    <row r="198" spans="7:8" ht="12.75">
      <c r="G198" s="159"/>
      <c r="H198" s="159"/>
    </row>
    <row r="199" spans="7:8" ht="12.75">
      <c r="G199" s="159"/>
      <c r="H199" s="159"/>
    </row>
    <row r="200" spans="7:8" ht="12.75">
      <c r="G200" s="159"/>
      <c r="H200" s="159"/>
    </row>
    <row r="201" spans="7:8" ht="12.75">
      <c r="G201" s="159"/>
      <c r="H201" s="159"/>
    </row>
    <row r="202" spans="7:8" ht="12.75">
      <c r="G202" s="159"/>
      <c r="H202" s="159"/>
    </row>
    <row r="203" spans="7:8" ht="12.75">
      <c r="G203" s="159"/>
      <c r="H203" s="159"/>
    </row>
    <row r="204" spans="7:8" ht="12.75">
      <c r="G204" s="159"/>
      <c r="H204" s="159"/>
    </row>
    <row r="205" spans="7:8" ht="12.75">
      <c r="G205" s="159"/>
      <c r="H205" s="159"/>
    </row>
    <row r="206" spans="7:8" ht="12.75">
      <c r="G206" s="159"/>
      <c r="H206" s="159"/>
    </row>
    <row r="207" spans="7:8" ht="12.75">
      <c r="G207" s="159"/>
      <c r="H207" s="159"/>
    </row>
    <row r="208" spans="7:8" ht="12.75">
      <c r="G208" s="159"/>
      <c r="H208" s="159"/>
    </row>
    <row r="209" spans="7:8" ht="12.75">
      <c r="G209" s="159"/>
      <c r="H209" s="159"/>
    </row>
    <row r="210" spans="7:8" ht="12.75">
      <c r="G210" s="159"/>
      <c r="H210" s="159"/>
    </row>
    <row r="211" spans="7:8" ht="12.75">
      <c r="G211" s="159"/>
      <c r="H211" s="159"/>
    </row>
    <row r="212" spans="7:8" ht="12.75">
      <c r="G212" s="159"/>
      <c r="H212" s="159"/>
    </row>
    <row r="213" spans="7:8" ht="12.75">
      <c r="G213" s="159"/>
      <c r="H213" s="159"/>
    </row>
    <row r="214" spans="7:8" ht="12.75">
      <c r="G214" s="159"/>
      <c r="H214" s="159"/>
    </row>
    <row r="215" spans="7:8" ht="12.75">
      <c r="G215" s="159"/>
      <c r="H215" s="159"/>
    </row>
    <row r="216" spans="7:8" ht="12.75">
      <c r="G216" s="159"/>
      <c r="H216" s="159"/>
    </row>
    <row r="217" spans="7:8" ht="12.75">
      <c r="G217" s="159"/>
      <c r="H217" s="159"/>
    </row>
    <row r="218" spans="7:8" ht="12.75">
      <c r="G218" s="159"/>
      <c r="H218" s="159"/>
    </row>
    <row r="219" spans="7:8" ht="12.75">
      <c r="G219" s="159"/>
      <c r="H219" s="159"/>
    </row>
    <row r="220" spans="7:8" ht="12.75">
      <c r="G220" s="159"/>
      <c r="H220" s="159"/>
    </row>
    <row r="221" spans="7:8" ht="12.75">
      <c r="G221" s="159"/>
      <c r="H221" s="159"/>
    </row>
    <row r="222" spans="7:8" ht="12.75">
      <c r="G222" s="159"/>
      <c r="H222" s="159"/>
    </row>
    <row r="223" spans="7:8" ht="12.75">
      <c r="G223" s="159"/>
      <c r="H223" s="159"/>
    </row>
    <row r="224" spans="7:8" ht="12.75">
      <c r="G224" s="159"/>
      <c r="H224" s="159"/>
    </row>
    <row r="225" spans="7:8" ht="12.75">
      <c r="G225" s="159"/>
      <c r="H225" s="159"/>
    </row>
    <row r="226" spans="7:8" ht="12.75">
      <c r="G226" s="159"/>
      <c r="H226" s="159"/>
    </row>
    <row r="227" spans="7:8" ht="12.75">
      <c r="G227" s="159"/>
      <c r="H227" s="159"/>
    </row>
    <row r="228" spans="7:8" ht="12.75">
      <c r="G228" s="159"/>
      <c r="H228" s="159"/>
    </row>
    <row r="229" spans="7:8" ht="12.75">
      <c r="G229" s="159"/>
      <c r="H229" s="159"/>
    </row>
    <row r="230" spans="7:8" ht="12.75">
      <c r="G230" s="159"/>
      <c r="H230" s="159"/>
    </row>
    <row r="231" spans="7:8" ht="12.75">
      <c r="G231" s="159"/>
      <c r="H231" s="159"/>
    </row>
    <row r="232" spans="7:8" ht="12.75">
      <c r="G232" s="159"/>
      <c r="H232" s="159"/>
    </row>
    <row r="233" spans="7:8" ht="12.75">
      <c r="G233" s="159"/>
      <c r="H233" s="159"/>
    </row>
    <row r="234" spans="7:8" ht="12.75">
      <c r="G234" s="159"/>
      <c r="H234" s="159"/>
    </row>
    <row r="235" spans="7:8" ht="12.75">
      <c r="G235" s="159"/>
      <c r="H235" s="159"/>
    </row>
    <row r="236" spans="7:8" ht="12.75">
      <c r="G236" s="159"/>
      <c r="H236" s="159"/>
    </row>
    <row r="237" spans="7:8" ht="12.75">
      <c r="G237" s="159"/>
      <c r="H237" s="159"/>
    </row>
    <row r="238" spans="7:8" ht="12.75">
      <c r="G238" s="159"/>
      <c r="H238" s="159"/>
    </row>
    <row r="239" spans="7:8" ht="12.75">
      <c r="G239" s="159"/>
      <c r="H239" s="159"/>
    </row>
    <row r="240" spans="7:8" ht="12.75">
      <c r="G240" s="159"/>
      <c r="H240" s="159"/>
    </row>
    <row r="241" spans="7:8" ht="12.75">
      <c r="G241" s="159"/>
      <c r="H241" s="159"/>
    </row>
    <row r="242" spans="7:8" ht="12.75">
      <c r="G242" s="159"/>
      <c r="H242" s="159"/>
    </row>
    <row r="243" spans="7:8" ht="12.75">
      <c r="G243" s="159"/>
      <c r="H243" s="159"/>
    </row>
    <row r="244" spans="7:8" ht="12.75">
      <c r="G244" s="159"/>
      <c r="H244" s="159"/>
    </row>
    <row r="245" spans="7:8" ht="12.75">
      <c r="G245" s="159"/>
      <c r="H245" s="159"/>
    </row>
    <row r="246" spans="7:8" ht="12.75">
      <c r="G246" s="159"/>
      <c r="H246" s="159"/>
    </row>
    <row r="247" spans="7:8" ht="12.75">
      <c r="G247" s="159"/>
      <c r="H247" s="159"/>
    </row>
    <row r="248" spans="7:8" ht="12.75">
      <c r="G248" s="159"/>
      <c r="H248" s="159"/>
    </row>
    <row r="249" spans="7:8" ht="12.75">
      <c r="G249" s="159"/>
      <c r="H249" s="159"/>
    </row>
    <row r="250" spans="7:8" ht="12.75">
      <c r="G250" s="159"/>
      <c r="H250" s="159"/>
    </row>
    <row r="251" spans="7:8" ht="12.75">
      <c r="G251" s="159"/>
      <c r="H251" s="159"/>
    </row>
    <row r="252" spans="7:8" ht="12.75">
      <c r="G252" s="159"/>
      <c r="H252" s="159"/>
    </row>
    <row r="253" spans="7:8" ht="12.75">
      <c r="G253" s="159"/>
      <c r="H253" s="159"/>
    </row>
    <row r="254" spans="7:8" ht="12.75">
      <c r="G254" s="159"/>
      <c r="H254" s="159"/>
    </row>
    <row r="255" spans="7:8" ht="12.75">
      <c r="G255" s="159"/>
      <c r="H255" s="159"/>
    </row>
    <row r="256" spans="7:8" ht="12.75">
      <c r="G256" s="159"/>
      <c r="H256" s="159"/>
    </row>
    <row r="257" spans="7:8" ht="12.75">
      <c r="G257" s="159"/>
      <c r="H257" s="159"/>
    </row>
    <row r="258" spans="7:8" ht="12.75">
      <c r="G258" s="159"/>
      <c r="H258" s="159"/>
    </row>
    <row r="259" spans="7:8" ht="12.75">
      <c r="G259" s="159"/>
      <c r="H259" s="159"/>
    </row>
    <row r="260" spans="7:8" ht="12.75">
      <c r="G260" s="159"/>
      <c r="H260" s="159"/>
    </row>
    <row r="261" spans="7:8" ht="12.75">
      <c r="G261" s="159"/>
      <c r="H261" s="159"/>
    </row>
    <row r="262" spans="7:8" ht="12.75">
      <c r="G262" s="159"/>
      <c r="H262" s="159"/>
    </row>
    <row r="263" spans="7:8" ht="12.75">
      <c r="G263" s="159"/>
      <c r="H263" s="159"/>
    </row>
    <row r="264" spans="7:8" ht="12.75">
      <c r="G264" s="159"/>
      <c r="H264" s="159"/>
    </row>
    <row r="265" spans="7:8" ht="12.75">
      <c r="G265" s="159"/>
      <c r="H265" s="159"/>
    </row>
    <row r="266" spans="7:8" ht="12.75">
      <c r="G266" s="159"/>
      <c r="H266" s="159"/>
    </row>
    <row r="267" spans="7:8" ht="12.75">
      <c r="G267" s="159"/>
      <c r="H267" s="159"/>
    </row>
    <row r="268" spans="7:8" ht="12.75">
      <c r="G268" s="159"/>
      <c r="H268" s="159"/>
    </row>
    <row r="269" spans="7:8" ht="12.75">
      <c r="G269" s="159"/>
      <c r="H269" s="159"/>
    </row>
    <row r="270" spans="7:8" ht="12.75">
      <c r="G270" s="159"/>
      <c r="H270" s="159"/>
    </row>
    <row r="271" spans="7:8" ht="12.75">
      <c r="G271" s="159"/>
      <c r="H271" s="159"/>
    </row>
    <row r="272" spans="7:8" ht="12.75">
      <c r="G272" s="159"/>
      <c r="H272" s="159"/>
    </row>
    <row r="273" spans="7:8" ht="12.75">
      <c r="G273" s="159"/>
      <c r="H273" s="159"/>
    </row>
    <row r="274" spans="7:8" ht="12.75">
      <c r="G274" s="159"/>
      <c r="H274" s="159"/>
    </row>
    <row r="275" spans="7:8" ht="12.75">
      <c r="G275" s="159"/>
      <c r="H275" s="159"/>
    </row>
    <row r="276" spans="7:8" ht="12.75">
      <c r="G276" s="159"/>
      <c r="H276" s="159"/>
    </row>
    <row r="277" spans="7:8" ht="12.75">
      <c r="G277" s="159"/>
      <c r="H277" s="159"/>
    </row>
    <row r="278" spans="7:8" ht="12.75">
      <c r="G278" s="159"/>
      <c r="H278" s="159"/>
    </row>
    <row r="279" spans="7:8" ht="12.75">
      <c r="G279" s="159"/>
      <c r="H279" s="159"/>
    </row>
    <row r="280" spans="7:8" ht="12.75">
      <c r="G280" s="159"/>
      <c r="H280" s="159"/>
    </row>
    <row r="281" spans="7:8" ht="12.75">
      <c r="G281" s="159"/>
      <c r="H281" s="159"/>
    </row>
    <row r="282" spans="7:8" ht="12.75">
      <c r="G282" s="159"/>
      <c r="H282" s="159"/>
    </row>
    <row r="283" spans="7:8" ht="12.75">
      <c r="G283" s="159"/>
      <c r="H283" s="159"/>
    </row>
    <row r="284" spans="7:8" ht="12.75">
      <c r="G284" s="159"/>
      <c r="H284" s="159"/>
    </row>
    <row r="285" spans="7:8" ht="12.75">
      <c r="G285" s="159"/>
      <c r="H285" s="159"/>
    </row>
    <row r="286" spans="7:8" ht="12.75">
      <c r="G286" s="159"/>
      <c r="H286" s="159"/>
    </row>
    <row r="287" spans="7:8" ht="12.75">
      <c r="G287" s="159"/>
      <c r="H287" s="159"/>
    </row>
    <row r="288" spans="7:8" ht="12.75">
      <c r="G288" s="159"/>
      <c r="H288" s="159"/>
    </row>
    <row r="289" spans="7:8" ht="12.75">
      <c r="G289" s="159"/>
      <c r="H289" s="159"/>
    </row>
    <row r="290" spans="7:8" ht="12.75">
      <c r="G290" s="159"/>
      <c r="H290" s="159"/>
    </row>
    <row r="291" spans="7:8" ht="12.75">
      <c r="G291" s="159"/>
      <c r="H291" s="159"/>
    </row>
    <row r="292" spans="7:8" ht="12.75">
      <c r="G292" s="159"/>
      <c r="H292" s="159"/>
    </row>
    <row r="293" spans="7:8" ht="12.75">
      <c r="G293" s="159"/>
      <c r="H293" s="159"/>
    </row>
    <row r="294" spans="7:8" ht="12.75">
      <c r="G294" s="159"/>
      <c r="H294" s="159"/>
    </row>
    <row r="295" spans="7:8" ht="12.75">
      <c r="G295" s="159"/>
      <c r="H295" s="159"/>
    </row>
    <row r="296" spans="7:8" ht="12.75">
      <c r="G296" s="159"/>
      <c r="H296" s="159"/>
    </row>
    <row r="297" spans="7:8" ht="12.75">
      <c r="G297" s="159"/>
      <c r="H297" s="159"/>
    </row>
    <row r="298" spans="7:8" ht="12.75">
      <c r="G298" s="159"/>
      <c r="H298" s="159"/>
    </row>
    <row r="299" spans="7:8" ht="12.75">
      <c r="G299" s="159"/>
      <c r="H299" s="159"/>
    </row>
    <row r="300" spans="7:8" ht="12.75">
      <c r="G300" s="159"/>
      <c r="H300" s="159"/>
    </row>
    <row r="301" spans="7:8" ht="12.75">
      <c r="G301" s="159"/>
      <c r="H301" s="159"/>
    </row>
    <row r="302" spans="7:8" ht="12.75">
      <c r="G302" s="159"/>
      <c r="H302" s="159"/>
    </row>
    <row r="303" spans="7:8" ht="12.75">
      <c r="G303" s="159"/>
      <c r="H303" s="159"/>
    </row>
    <row r="304" spans="7:8" ht="12.75">
      <c r="G304" s="159"/>
      <c r="H304" s="159"/>
    </row>
    <row r="305" spans="7:8" ht="12.75">
      <c r="G305" s="159"/>
      <c r="H305" s="159"/>
    </row>
    <row r="306" spans="7:8" ht="12.75">
      <c r="G306" s="159"/>
      <c r="H306" s="159"/>
    </row>
    <row r="307" spans="7:8" ht="12.75">
      <c r="G307" s="159"/>
      <c r="H307" s="159"/>
    </row>
    <row r="308" spans="7:8" ht="12.75">
      <c r="G308" s="159"/>
      <c r="H308" s="159"/>
    </row>
    <row r="309" spans="7:8" ht="12.75">
      <c r="G309" s="159"/>
      <c r="H309" s="159"/>
    </row>
    <row r="310" spans="7:8" ht="12.75">
      <c r="G310" s="159"/>
      <c r="H310" s="159"/>
    </row>
    <row r="311" spans="7:8" ht="12.75">
      <c r="G311" s="159"/>
      <c r="H311" s="159"/>
    </row>
    <row r="312" spans="7:8" ht="12.75">
      <c r="G312" s="159"/>
      <c r="H312" s="159"/>
    </row>
    <row r="313" spans="7:8" ht="12.75">
      <c r="G313" s="159"/>
      <c r="H313" s="159"/>
    </row>
    <row r="314" spans="7:8" ht="12.75">
      <c r="G314" s="159"/>
      <c r="H314" s="159"/>
    </row>
    <row r="315" spans="7:8" ht="12.75">
      <c r="G315" s="159"/>
      <c r="H315" s="159"/>
    </row>
    <row r="316" spans="7:8" ht="12.75">
      <c r="G316" s="159"/>
      <c r="H316" s="159"/>
    </row>
    <row r="317" spans="7:8" ht="12.75">
      <c r="G317" s="159"/>
      <c r="H317" s="159"/>
    </row>
    <row r="318" spans="7:8" ht="12.75">
      <c r="G318" s="159"/>
      <c r="H318" s="159"/>
    </row>
    <row r="319" spans="7:8" ht="12.75">
      <c r="G319" s="159"/>
      <c r="H319" s="159"/>
    </row>
    <row r="320" spans="7:8" ht="12.75">
      <c r="G320" s="159"/>
      <c r="H320" s="159"/>
    </row>
    <row r="321" spans="7:8" ht="12.75">
      <c r="G321" s="159"/>
      <c r="H321" s="159"/>
    </row>
    <row r="322" spans="7:8" ht="12.75">
      <c r="G322" s="159"/>
      <c r="H322" s="159"/>
    </row>
    <row r="323" spans="7:8" ht="12.75">
      <c r="G323" s="159"/>
      <c r="H323" s="159"/>
    </row>
    <row r="324" spans="7:8" ht="12.75">
      <c r="G324" s="159"/>
      <c r="H324" s="159"/>
    </row>
    <row r="325" spans="7:8" ht="12.75">
      <c r="G325" s="159"/>
      <c r="H325" s="159"/>
    </row>
    <row r="326" spans="7:8" ht="12.75">
      <c r="G326" s="159"/>
      <c r="H326" s="159"/>
    </row>
    <row r="327" spans="7:8" ht="12.75">
      <c r="G327" s="159"/>
      <c r="H327" s="159"/>
    </row>
    <row r="328" spans="7:8" ht="12.75">
      <c r="G328" s="159"/>
      <c r="H328" s="159"/>
    </row>
    <row r="329" spans="7:8" ht="12.75">
      <c r="G329" s="159"/>
      <c r="H329" s="159"/>
    </row>
    <row r="330" spans="7:8" ht="12.75">
      <c r="G330" s="159"/>
      <c r="H330" s="159"/>
    </row>
    <row r="331" spans="7:8" ht="12.75">
      <c r="G331" s="159"/>
      <c r="H331" s="159"/>
    </row>
    <row r="332" spans="7:8" ht="12.75">
      <c r="G332" s="159"/>
      <c r="H332" s="159"/>
    </row>
    <row r="333" spans="7:8" ht="12.75">
      <c r="G333" s="159"/>
      <c r="H333" s="159"/>
    </row>
    <row r="334" spans="7:8" ht="12.75">
      <c r="G334" s="159"/>
      <c r="H334" s="159"/>
    </row>
    <row r="335" spans="7:8" ht="12.75">
      <c r="G335" s="159"/>
      <c r="H335" s="159"/>
    </row>
    <row r="336" spans="7:8" ht="12.75">
      <c r="G336" s="159"/>
      <c r="H336" s="159"/>
    </row>
    <row r="337" spans="7:8" ht="12.75">
      <c r="G337" s="159"/>
      <c r="H337" s="159"/>
    </row>
    <row r="338" spans="7:8" ht="12.75">
      <c r="G338" s="159"/>
      <c r="H338" s="159"/>
    </row>
    <row r="339" spans="7:8" ht="12.75">
      <c r="G339" s="159"/>
      <c r="H339" s="159"/>
    </row>
    <row r="340" spans="7:8" ht="12.75">
      <c r="G340" s="159"/>
      <c r="H340" s="159"/>
    </row>
    <row r="341" spans="7:8" ht="12.75">
      <c r="G341" s="159"/>
      <c r="H341" s="159"/>
    </row>
    <row r="342" spans="7:8" ht="12.75">
      <c r="G342" s="159"/>
      <c r="H342" s="159"/>
    </row>
    <row r="343" spans="7:8" ht="12.75">
      <c r="G343" s="159"/>
      <c r="H343" s="159"/>
    </row>
    <row r="344" spans="7:8" ht="12.75">
      <c r="G344" s="159"/>
      <c r="H344" s="159"/>
    </row>
    <row r="345" spans="7:8" ht="12.75">
      <c r="G345" s="159"/>
      <c r="H345" s="159"/>
    </row>
    <row r="346" spans="7:8" ht="12.75">
      <c r="G346" s="159"/>
      <c r="H346" s="159"/>
    </row>
    <row r="347" spans="7:8" ht="12.75">
      <c r="G347" s="159"/>
      <c r="H347" s="159"/>
    </row>
    <row r="348" spans="7:8" ht="12.75">
      <c r="G348" s="159"/>
      <c r="H348" s="159"/>
    </row>
    <row r="349" spans="7:8" ht="12.75">
      <c r="G349" s="159"/>
      <c r="H349" s="159"/>
    </row>
    <row r="350" spans="7:8" ht="12.75">
      <c r="G350" s="159"/>
      <c r="H350" s="159"/>
    </row>
    <row r="351" spans="7:8" ht="12.75">
      <c r="G351" s="159"/>
      <c r="H351" s="159"/>
    </row>
    <row r="352" spans="7:8" ht="12.75">
      <c r="G352" s="159"/>
      <c r="H352" s="159"/>
    </row>
    <row r="353" spans="7:8" ht="12.75">
      <c r="G353" s="159"/>
      <c r="H353" s="159"/>
    </row>
    <row r="354" spans="7:8" ht="12.75">
      <c r="G354" s="159"/>
      <c r="H354" s="159"/>
    </row>
    <row r="355" spans="7:8" ht="12.75">
      <c r="G355" s="159"/>
      <c r="H355" s="159"/>
    </row>
    <row r="356" spans="7:8" ht="12.75">
      <c r="G356" s="159"/>
      <c r="H356" s="159"/>
    </row>
    <row r="357" spans="7:8" ht="12.75">
      <c r="G357" s="159"/>
      <c r="H357" s="159"/>
    </row>
    <row r="358" spans="7:8" ht="12.75">
      <c r="G358" s="159"/>
      <c r="H358" s="159"/>
    </row>
    <row r="359" spans="7:8" ht="12.75">
      <c r="G359" s="159"/>
      <c r="H359" s="159"/>
    </row>
    <row r="360" spans="7:8" ht="12.75">
      <c r="G360" s="159"/>
      <c r="H360" s="159"/>
    </row>
    <row r="361" spans="7:8" ht="12.75">
      <c r="G361" s="159"/>
      <c r="H361" s="159"/>
    </row>
    <row r="362" spans="7:8" ht="12.75">
      <c r="G362" s="159"/>
      <c r="H362" s="159"/>
    </row>
    <row r="363" spans="7:8" ht="12.75">
      <c r="G363" s="159"/>
      <c r="H363" s="159"/>
    </row>
    <row r="364" spans="7:8" ht="12.75">
      <c r="G364" s="159"/>
      <c r="H364" s="159"/>
    </row>
    <row r="365" spans="7:8" ht="12.75">
      <c r="G365" s="159"/>
      <c r="H365" s="159"/>
    </row>
    <row r="366" spans="7:8" ht="12.75">
      <c r="G366" s="159"/>
      <c r="H366" s="159"/>
    </row>
    <row r="367" spans="7:8" ht="12.75">
      <c r="G367" s="159"/>
      <c r="H367" s="159"/>
    </row>
    <row r="368" spans="7:8" ht="12.75">
      <c r="G368" s="159"/>
      <c r="H368" s="159"/>
    </row>
    <row r="369" spans="7:8" ht="12.75">
      <c r="G369" s="159"/>
      <c r="H369" s="159"/>
    </row>
    <row r="370" spans="7:8" ht="12.75">
      <c r="G370" s="159"/>
      <c r="H370" s="159"/>
    </row>
    <row r="371" spans="7:8" ht="12.75">
      <c r="G371" s="159"/>
      <c r="H371" s="159"/>
    </row>
    <row r="372" spans="7:8" ht="12.75">
      <c r="G372" s="159"/>
      <c r="H372" s="159"/>
    </row>
    <row r="373" spans="7:8" ht="12.75">
      <c r="G373" s="159"/>
      <c r="H373" s="159"/>
    </row>
    <row r="374" spans="7:8" ht="12.75">
      <c r="G374" s="159"/>
      <c r="H374" s="159"/>
    </row>
    <row r="375" spans="7:8" ht="12.75">
      <c r="G375" s="159"/>
      <c r="H375" s="159"/>
    </row>
    <row r="376" spans="7:8" ht="12.75">
      <c r="G376" s="159"/>
      <c r="H376" s="159"/>
    </row>
    <row r="377" spans="7:8" ht="12.75">
      <c r="G377" s="159"/>
      <c r="H377" s="159"/>
    </row>
    <row r="378" spans="7:8" ht="12.75">
      <c r="G378" s="159"/>
      <c r="H378" s="159"/>
    </row>
    <row r="379" spans="7:8" ht="12.75">
      <c r="G379" s="159"/>
      <c r="H379" s="159"/>
    </row>
    <row r="380" spans="7:8" ht="12.75">
      <c r="G380" s="159"/>
      <c r="H380" s="159"/>
    </row>
    <row r="381" spans="7:8" ht="12.75">
      <c r="G381" s="159"/>
      <c r="H381" s="159"/>
    </row>
    <row r="382" spans="7:8" ht="12.75">
      <c r="G382" s="159"/>
      <c r="H382" s="159"/>
    </row>
    <row r="383" spans="7:8" ht="12.75">
      <c r="G383" s="159"/>
      <c r="H383" s="159"/>
    </row>
    <row r="384" spans="7:8" ht="12.75">
      <c r="G384" s="159"/>
      <c r="H384" s="159"/>
    </row>
    <row r="385" spans="7:8" ht="12.75">
      <c r="G385" s="159"/>
      <c r="H385" s="159"/>
    </row>
    <row r="386" spans="7:8" ht="12.75">
      <c r="G386" s="159"/>
      <c r="H386" s="159"/>
    </row>
    <row r="387" spans="7:8" ht="12.75">
      <c r="G387" s="159"/>
      <c r="H387" s="159"/>
    </row>
    <row r="388" spans="7:8" ht="12.75">
      <c r="G388" s="159"/>
      <c r="H388" s="159"/>
    </row>
    <row r="389" spans="7:8" ht="12.75">
      <c r="G389" s="159"/>
      <c r="H389" s="159"/>
    </row>
    <row r="390" spans="7:8" ht="12.75">
      <c r="G390" s="159"/>
      <c r="H390" s="159"/>
    </row>
    <row r="391" spans="7:8" ht="12.75">
      <c r="G391" s="159"/>
      <c r="H391" s="159"/>
    </row>
    <row r="392" spans="7:8" ht="12.75">
      <c r="G392" s="159"/>
      <c r="H392" s="159"/>
    </row>
    <row r="393" spans="7:8" ht="12.75">
      <c r="G393" s="159"/>
      <c r="H393" s="159"/>
    </row>
    <row r="394" spans="7:8" ht="12.75">
      <c r="G394" s="159"/>
      <c r="H394" s="159"/>
    </row>
    <row r="395" spans="7:8" ht="12.75">
      <c r="G395" s="159"/>
      <c r="H395" s="159"/>
    </row>
    <row r="396" spans="7:8" ht="12.75">
      <c r="G396" s="159"/>
      <c r="H396" s="159"/>
    </row>
    <row r="397" spans="7:8" ht="12.75">
      <c r="G397" s="159"/>
      <c r="H397" s="159"/>
    </row>
    <row r="398" spans="7:8" ht="12.75">
      <c r="G398" s="159"/>
      <c r="H398" s="159"/>
    </row>
    <row r="399" spans="7:8" ht="12.75">
      <c r="G399" s="159"/>
      <c r="H399" s="159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2209733.3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1959049.1000000003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2209733.3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1959049.1000000003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2018-12-20T07:41:55Z</cp:lastPrinted>
  <dcterms:created xsi:type="dcterms:W3CDTF">2000-06-20T04:48:00Z</dcterms:created>
  <dcterms:modified xsi:type="dcterms:W3CDTF">2018-12-20T12:52:42Z</dcterms:modified>
  <cp:category/>
  <cp:version/>
  <cp:contentType/>
  <cp:contentStatus/>
</cp:coreProperties>
</file>